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gode\Documents\0Almaris\godeohlson-web\files\"/>
    </mc:Choice>
  </mc:AlternateContent>
  <bookViews>
    <workbookView xWindow="-15" yWindow="8220" windowWidth="14520" windowHeight="8760"/>
  </bookViews>
  <sheets>
    <sheet name="LongRunROIC" sheetId="2" r:id="rId1"/>
  </sheets>
  <definedNames>
    <definedName name="Step_1">LongRunROIC!$K$12</definedName>
    <definedName name="Step_10">LongRunROIC!$K$24</definedName>
    <definedName name="Step_11">LongRunROIC!$K$25</definedName>
    <definedName name="Step_12">LongRunROIC!$K$26</definedName>
    <definedName name="Step_13">LongRunROIC!$K$27</definedName>
    <definedName name="Step_14">LongRunROIC!$K$29</definedName>
    <definedName name="Step_15">LongRunROIC!$K$30</definedName>
    <definedName name="Step_16">LongRunROIC!$K$31</definedName>
    <definedName name="Step_17">LongRunROIC!$K$32</definedName>
    <definedName name="Step_18">LongRunROIC!$K$33</definedName>
    <definedName name="Step_19">LongRunROIC!$K$19</definedName>
    <definedName name="Step_2">LongRunROIC!$K$13</definedName>
    <definedName name="Step_20">LongRunROIC!$K$46</definedName>
    <definedName name="Step_21">LongRunROIC!$K$47</definedName>
    <definedName name="Step_22">LongRunROIC!$K$48</definedName>
    <definedName name="Step_23">LongRunROIC!$K$49</definedName>
    <definedName name="Step_24">LongRunROIC!$K$51</definedName>
    <definedName name="Step_25">LongRunROIC!$K$52</definedName>
    <definedName name="Step_26">LongRunROIC!$K$53</definedName>
    <definedName name="Step_27">LongRunROIC!$K$54</definedName>
    <definedName name="Step_28">LongRunROIC!$K$56</definedName>
    <definedName name="Step_29">LongRunROIC!$K$57</definedName>
    <definedName name="Step_3">LongRunROIC!$K$14</definedName>
    <definedName name="Step_30">LongRunROIC!$K$58</definedName>
    <definedName name="Step_31">LongRunROIC!$K$59</definedName>
    <definedName name="Step_32">LongRunROIC!$K$15</definedName>
    <definedName name="Step_33">LongRunROIC!$K$61</definedName>
    <definedName name="Step_34">LongRunROIC!$K$62</definedName>
    <definedName name="Step_35">LongRunROIC!$K$63</definedName>
    <definedName name="Step_36">LongRunROIC!$K$64</definedName>
    <definedName name="Step_37">LongRunROIC!$K$65</definedName>
    <definedName name="Step_38">LongRunROIC!$K$66</definedName>
    <definedName name="Step_4">LongRunROIC!$K$21</definedName>
    <definedName name="Step_5">LongRunROIC!$K$16</definedName>
    <definedName name="Step_6">LongRunROIC!$K$17</definedName>
    <definedName name="Step_7">LongRunROIC!$K$18</definedName>
    <definedName name="Step_8">LongRunROIC!$K$22</definedName>
    <definedName name="Step_9">LongRunROIC!$K$23</definedName>
  </definedNames>
  <calcPr calcId="162913" iterate="1"/>
</workbook>
</file>

<file path=xl/calcChain.xml><?xml version="1.0" encoding="utf-8"?>
<calcChain xmlns="http://schemas.openxmlformats.org/spreadsheetml/2006/main">
  <c r="K13" i="2" l="1"/>
  <c r="K14" i="2" s="1"/>
  <c r="K21" i="2" s="1"/>
  <c r="K16" i="2" s="1"/>
  <c r="K17" i="2" s="1"/>
  <c r="K18" i="2" s="1"/>
  <c r="K22" i="2" s="1"/>
  <c r="K23" i="2" s="1"/>
  <c r="K24" i="2" s="1"/>
  <c r="K25" i="2" s="1"/>
  <c r="K26" i="2" s="1"/>
  <c r="K27" i="2" s="1"/>
  <c r="K29" i="2" s="1"/>
  <c r="K30" i="2" s="1"/>
  <c r="K31" i="2" s="1"/>
  <c r="K32" i="2" s="1"/>
  <c r="K33" i="2" s="1"/>
  <c r="K19" i="2" s="1"/>
  <c r="K46" i="2" s="1"/>
  <c r="K47" i="2" s="1"/>
  <c r="K48" i="2" s="1"/>
  <c r="K49" i="2" s="1"/>
  <c r="K51" i="2" s="1"/>
  <c r="K52" i="2" s="1"/>
  <c r="K53" i="2" s="1"/>
  <c r="K54" i="2" s="1"/>
  <c r="K56" i="2" s="1"/>
  <c r="K57" i="2" s="1"/>
  <c r="K58" i="2" s="1"/>
  <c r="K59" i="2" s="1"/>
  <c r="K15" i="2" s="1"/>
  <c r="K61" i="2" s="1"/>
  <c r="K62" i="2" s="1"/>
  <c r="K63" i="2" s="1"/>
  <c r="K64" i="2" s="1"/>
  <c r="K65" i="2" s="1"/>
  <c r="K66" i="2" s="1"/>
  <c r="H46" i="2"/>
  <c r="G46" i="2"/>
  <c r="F46" i="2"/>
  <c r="E46" i="2"/>
  <c r="D46" i="2"/>
  <c r="D16" i="2"/>
  <c r="C12" i="2" s="1"/>
  <c r="E15" i="2"/>
  <c r="F15" i="2" s="1"/>
  <c r="F16" i="2" s="1"/>
  <c r="E12" i="2" s="1"/>
  <c r="E14" i="2" s="1"/>
  <c r="E16" i="2" l="1"/>
  <c r="D12" i="2" s="1"/>
  <c r="D14" i="2" s="1"/>
  <c r="C14" i="2"/>
  <c r="C13" i="2"/>
  <c r="G15" i="2"/>
  <c r="E13" i="2"/>
  <c r="F18" i="2" s="1"/>
  <c r="F17" i="2" s="1"/>
  <c r="F22" i="2" s="1"/>
  <c r="F24" i="2" s="1"/>
  <c r="D13" i="2" l="1"/>
  <c r="E18" i="2" s="1"/>
  <c r="E17" i="2" s="1"/>
  <c r="E22" i="2" s="1"/>
  <c r="E24" i="2" s="1"/>
  <c r="D18" i="2"/>
  <c r="D17" i="2" s="1"/>
  <c r="D22" i="2" s="1"/>
  <c r="D24" i="2" s="1"/>
  <c r="F61" i="2"/>
  <c r="E61" i="2"/>
  <c r="C21" i="2"/>
  <c r="D21" i="2"/>
  <c r="G16" i="2"/>
  <c r="H15" i="2"/>
  <c r="E21" i="2"/>
  <c r="C52" i="2" l="1"/>
  <c r="C29" i="2"/>
  <c r="C32" i="2"/>
  <c r="D61" i="2"/>
  <c r="E25" i="2"/>
  <c r="E26" i="2" s="1"/>
  <c r="E63" i="2"/>
  <c r="E41" i="2"/>
  <c r="H16" i="2"/>
  <c r="I15" i="2"/>
  <c r="F12" i="2"/>
  <c r="D63" i="2"/>
  <c r="D43" i="2"/>
  <c r="D25" i="2"/>
  <c r="D26" i="2" s="1"/>
  <c r="D47" i="2" l="1"/>
  <c r="D48" i="2" s="1"/>
  <c r="D30" i="2"/>
  <c r="D32" i="2" s="1"/>
  <c r="E47" i="2"/>
  <c r="E48" i="2" s="1"/>
  <c r="E30" i="2"/>
  <c r="E32" i="2" s="1"/>
  <c r="E43" i="2" s="1"/>
  <c r="F13" i="2"/>
  <c r="F14" i="2"/>
  <c r="I64" i="2"/>
  <c r="I16" i="2"/>
  <c r="G12" i="2"/>
  <c r="G13" i="2" l="1"/>
  <c r="G14" i="2"/>
  <c r="H12" i="2"/>
  <c r="G18" i="2"/>
  <c r="G17" i="2" s="1"/>
  <c r="G22" i="2" s="1"/>
  <c r="F21" i="2"/>
  <c r="H13" i="2" l="1"/>
  <c r="I12" i="2"/>
  <c r="H14" i="2"/>
  <c r="H18" i="2"/>
  <c r="H17" i="2" s="1"/>
  <c r="H22" i="2" s="1"/>
  <c r="H24" i="2" s="1"/>
  <c r="G21" i="2"/>
  <c r="F39" i="2"/>
  <c r="F25" i="2"/>
  <c r="F26" i="2" s="1"/>
  <c r="F63" i="2"/>
  <c r="G24" i="2"/>
  <c r="H21" i="2" l="1"/>
  <c r="H35" i="2" s="1"/>
  <c r="F47" i="2"/>
  <c r="F48" i="2" s="1"/>
  <c r="F30" i="2"/>
  <c r="F32" i="2" s="1"/>
  <c r="H61" i="2"/>
  <c r="I14" i="2"/>
  <c r="I13" i="2"/>
  <c r="G25" i="2"/>
  <c r="G26" i="2" s="1"/>
  <c r="G63" i="2"/>
  <c r="G37" i="2"/>
  <c r="G61" i="2"/>
  <c r="I18" i="2"/>
  <c r="I17" i="2" s="1"/>
  <c r="I22" i="2" s="1"/>
  <c r="I24" i="2" s="1"/>
  <c r="H63" i="2" l="1"/>
  <c r="H25" i="2"/>
  <c r="H26" i="2" s="1"/>
  <c r="I23" i="2"/>
  <c r="G30" i="2"/>
  <c r="G32" i="2" s="1"/>
  <c r="G47" i="2"/>
  <c r="G48" i="2" s="1"/>
  <c r="I49" i="2" s="1"/>
  <c r="I51" i="2" s="1"/>
  <c r="I62" i="2"/>
  <c r="F41" i="2"/>
  <c r="F43" i="2"/>
  <c r="I61" i="2"/>
  <c r="H47" i="2"/>
  <c r="H48" i="2" s="1"/>
  <c r="H30" i="2"/>
  <c r="H32" i="2" s="1"/>
  <c r="I21" i="2"/>
  <c r="I53" i="2" l="1"/>
  <c r="I54" i="2" s="1"/>
  <c r="I56" i="2"/>
  <c r="I59" i="2" s="1"/>
  <c r="H39" i="2"/>
  <c r="H37" i="2"/>
  <c r="H43" i="2"/>
  <c r="H41" i="2"/>
  <c r="I65" i="2"/>
  <c r="I66" i="2" s="1"/>
  <c r="I63" i="2"/>
  <c r="I31" i="2"/>
  <c r="I25" i="2"/>
  <c r="I26" i="2" s="1"/>
  <c r="G41" i="2"/>
  <c r="G43" i="2"/>
  <c r="G39" i="2"/>
  <c r="I30" i="2" l="1"/>
  <c r="I32" i="2" s="1"/>
  <c r="I27" i="2"/>
  <c r="I57" i="2" s="1"/>
  <c r="I58" i="2" s="1"/>
  <c r="I43" i="2" l="1"/>
  <c r="I44" i="2" s="1"/>
  <c r="I35" i="2"/>
  <c r="I36" i="2" s="1"/>
  <c r="I41" i="2"/>
  <c r="I42" i="2" s="1"/>
  <c r="I39" i="2"/>
  <c r="I40" i="2" s="1"/>
  <c r="I37" i="2"/>
  <c r="I38" i="2" s="1"/>
  <c r="I33" i="2"/>
</calcChain>
</file>

<file path=xl/sharedStrings.xml><?xml version="1.0" encoding="utf-8"?>
<sst xmlns="http://schemas.openxmlformats.org/spreadsheetml/2006/main" count="57" uniqueCount="56">
  <si>
    <t>Input</t>
  </si>
  <si>
    <t>Intermediate computations</t>
  </si>
  <si>
    <t>Alternate computation</t>
  </si>
  <si>
    <t>Click here</t>
  </si>
  <si>
    <t>wacc</t>
  </si>
  <si>
    <t>(Change in net enterprise assets)</t>
  </si>
  <si>
    <t>Equity [EQ]</t>
  </si>
  <si>
    <t>Financial liabilities [FL]</t>
  </si>
  <si>
    <t>Financial assets [FA]</t>
  </si>
  <si>
    <t>Comprehensive income [CI]</t>
  </si>
  <si>
    <t>Net financial expense, after tax [NFEAT]</t>
  </si>
  <si>
    <t>Net enterprise assets [NEA = Invested capital = EQ + FL - FA]</t>
  </si>
  <si>
    <t>Financial OCI [FOCI]</t>
  </si>
  <si>
    <t>= Enterprise cash flows or enterprise dividends [C]</t>
  </si>
  <si>
    <t>Sales</t>
  </si>
  <si>
    <t>Ratios</t>
  </si>
  <si>
    <t>Net enterprise asset intensity [NEA/Sales]</t>
  </si>
  <si>
    <t>Enterprise profit margin [EPAT/Sales]</t>
  </si>
  <si>
    <t>Average profit margin [Cumulative EPAT/Cumulative sales]</t>
  </si>
  <si>
    <t>CAGR Sales/CAGR NEA</t>
  </si>
  <si>
    <t>Compounded annual growth rate in NEA</t>
  </si>
  <si>
    <t>Compounded annual growth rate [CAGR] in sales</t>
  </si>
  <si>
    <t>Comprehensive enterprise profit after tax [CEPAT = CI - FOCI + NFEAT]</t>
  </si>
  <si>
    <t>Comprehensive enterprise profit after tax</t>
  </si>
  <si>
    <r>
      <t>Sum of CEPAT including current year: E</t>
    </r>
    <r>
      <rPr>
        <vertAlign val="subscript"/>
        <sz val="10"/>
        <rFont val="Verdana"/>
        <family val="2"/>
      </rPr>
      <t>0</t>
    </r>
  </si>
  <si>
    <r>
      <t>Sum of enterprise cash flows including current year: C</t>
    </r>
    <r>
      <rPr>
        <vertAlign val="subscript"/>
        <sz val="10"/>
        <rFont val="Verdana"/>
        <family val="2"/>
      </rPr>
      <t>0</t>
    </r>
  </si>
  <si>
    <r>
      <t>Denominator: NEA at the end of Y</t>
    </r>
    <r>
      <rPr>
        <vertAlign val="subscript"/>
        <sz val="10"/>
        <rFont val="Verdana"/>
        <family val="2"/>
      </rPr>
      <t>-6</t>
    </r>
    <r>
      <rPr>
        <sz val="8"/>
        <rFont val="Verdana"/>
        <family val="2"/>
      </rPr>
      <t>: NEA</t>
    </r>
    <r>
      <rPr>
        <vertAlign val="subscript"/>
        <sz val="10"/>
        <rFont val="Verdana"/>
        <family val="2"/>
      </rPr>
      <t>-6</t>
    </r>
  </si>
  <si>
    <r>
      <t>Annualized return on starting NEA: (1+total return)</t>
    </r>
    <r>
      <rPr>
        <b/>
        <vertAlign val="superscript"/>
        <sz val="10"/>
        <rFont val="Verdana"/>
        <family val="2"/>
      </rPr>
      <t>(1/6)</t>
    </r>
    <r>
      <rPr>
        <b/>
        <sz val="8"/>
        <rFont val="Verdana"/>
        <family val="2"/>
      </rPr>
      <t xml:space="preserve"> - 1</t>
    </r>
  </si>
  <si>
    <r>
      <t>Sum of cash flows and earnings foregone: C</t>
    </r>
    <r>
      <rPr>
        <vertAlign val="subscript"/>
        <sz val="10"/>
        <rFont val="Verdana"/>
        <family val="2"/>
      </rPr>
      <t>0</t>
    </r>
    <r>
      <rPr>
        <sz val="8"/>
        <rFont val="Verdana"/>
        <family val="2"/>
      </rPr>
      <t xml:space="preserve"> + F</t>
    </r>
    <r>
      <rPr>
        <vertAlign val="subscript"/>
        <sz val="10"/>
        <rFont val="Verdana"/>
        <family val="2"/>
      </rPr>
      <t>0</t>
    </r>
  </si>
  <si>
    <r>
      <t>Total return on NEA at the end of Y</t>
    </r>
    <r>
      <rPr>
        <vertAlign val="subscript"/>
        <sz val="10"/>
        <rFont val="Verdana"/>
        <family val="2"/>
      </rPr>
      <t>-6</t>
    </r>
    <r>
      <rPr>
        <sz val="8"/>
        <rFont val="Verdana"/>
        <family val="2"/>
      </rPr>
      <t>: (E</t>
    </r>
    <r>
      <rPr>
        <vertAlign val="subscript"/>
        <sz val="10"/>
        <rFont val="Verdana"/>
        <family val="2"/>
      </rPr>
      <t>0</t>
    </r>
    <r>
      <rPr>
        <sz val="8"/>
        <rFont val="Verdana"/>
        <family val="2"/>
      </rPr>
      <t>+F</t>
    </r>
    <r>
      <rPr>
        <vertAlign val="subscript"/>
        <sz val="10"/>
        <rFont val="Verdana"/>
        <family val="2"/>
      </rPr>
      <t>0</t>
    </r>
    <r>
      <rPr>
        <sz val="8"/>
        <rFont val="Verdana"/>
        <family val="2"/>
      </rPr>
      <t>)/NEA</t>
    </r>
    <r>
      <rPr>
        <vertAlign val="subscript"/>
        <sz val="10"/>
        <rFont val="Verdana"/>
        <family val="2"/>
      </rPr>
      <t>-6</t>
    </r>
  </si>
  <si>
    <r>
      <t>Annualized return on NEA at the end of Y</t>
    </r>
    <r>
      <rPr>
        <b/>
        <vertAlign val="subscript"/>
        <sz val="10"/>
        <rFont val="Verdana"/>
        <family val="2"/>
      </rPr>
      <t>-6</t>
    </r>
    <r>
      <rPr>
        <b/>
        <sz val="8"/>
        <rFont val="Verdana"/>
        <family val="2"/>
      </rPr>
      <t>: r = [h</t>
    </r>
    <r>
      <rPr>
        <b/>
        <vertAlign val="subscript"/>
        <sz val="10"/>
        <rFont val="Verdana"/>
        <family val="2"/>
      </rPr>
      <t>0</t>
    </r>
    <r>
      <rPr>
        <b/>
        <sz val="8"/>
        <rFont val="Verdana"/>
        <family val="2"/>
      </rPr>
      <t>/NEA</t>
    </r>
    <r>
      <rPr>
        <b/>
        <vertAlign val="subscript"/>
        <sz val="10"/>
        <rFont val="Verdana"/>
        <family val="2"/>
      </rPr>
      <t>-6</t>
    </r>
    <r>
      <rPr>
        <b/>
        <sz val="8"/>
        <rFont val="Verdana"/>
        <family val="2"/>
      </rPr>
      <t>]</t>
    </r>
    <r>
      <rPr>
        <b/>
        <vertAlign val="superscript"/>
        <sz val="10"/>
        <rFont val="Verdana"/>
        <family val="2"/>
      </rPr>
      <t>1/6</t>
    </r>
    <r>
      <rPr>
        <b/>
        <sz val="8"/>
        <rFont val="Verdana"/>
        <family val="2"/>
      </rPr>
      <t xml:space="preserve"> - 1</t>
    </r>
  </si>
  <si>
    <t>Enterprise IRR [Unlevered IRR]</t>
  </si>
  <si>
    <r>
      <t>Compounding factor: (1+wacc)</t>
    </r>
    <r>
      <rPr>
        <vertAlign val="superscript"/>
        <sz val="10"/>
        <rFont val="Verdana"/>
        <family val="2"/>
      </rPr>
      <t>n</t>
    </r>
  </si>
  <si>
    <r>
      <t>h0: Alternate computation of h</t>
    </r>
    <r>
      <rPr>
        <vertAlign val="subscript"/>
        <sz val="10"/>
        <rFont val="Verdana"/>
        <family val="2"/>
      </rPr>
      <t>0</t>
    </r>
    <r>
      <rPr>
        <sz val="8"/>
        <rFont val="Verdana"/>
        <family val="2"/>
      </rPr>
      <t>: NEA</t>
    </r>
    <r>
      <rPr>
        <vertAlign val="subscript"/>
        <sz val="10"/>
        <rFont val="Verdana"/>
        <family val="2"/>
      </rPr>
      <t>0</t>
    </r>
    <r>
      <rPr>
        <sz val="8"/>
        <rFont val="Verdana"/>
        <family val="2"/>
      </rPr>
      <t xml:space="preserve"> + C</t>
    </r>
    <r>
      <rPr>
        <vertAlign val="subscript"/>
        <sz val="10"/>
        <rFont val="Verdana"/>
        <family val="2"/>
      </rPr>
      <t>0</t>
    </r>
    <r>
      <rPr>
        <sz val="8"/>
        <rFont val="Verdana"/>
        <family val="2"/>
      </rPr>
      <t xml:space="preserve"> + F</t>
    </r>
    <r>
      <rPr>
        <vertAlign val="subscript"/>
        <sz val="10"/>
        <rFont val="Verdana"/>
        <family val="2"/>
      </rPr>
      <t>0</t>
    </r>
  </si>
  <si>
    <r>
      <t>Numerator: Sum of CEPAT and CEPAT foregone: E</t>
    </r>
    <r>
      <rPr>
        <vertAlign val="subscript"/>
        <sz val="10"/>
        <rFont val="Verdana"/>
        <family val="2"/>
      </rPr>
      <t>0</t>
    </r>
    <r>
      <rPr>
        <sz val="8"/>
        <rFont val="Verdana"/>
        <family val="2"/>
      </rPr>
      <t xml:space="preserve"> + F</t>
    </r>
    <r>
      <rPr>
        <vertAlign val="subscript"/>
        <sz val="10"/>
        <rFont val="Verdana"/>
        <family val="2"/>
      </rPr>
      <t>0</t>
    </r>
  </si>
  <si>
    <r>
      <t>= Sum of CEPAT foregone on enterprise cash flows: F</t>
    </r>
    <r>
      <rPr>
        <vertAlign val="subscript"/>
        <sz val="10"/>
        <rFont val="Verdana"/>
        <family val="2"/>
      </rPr>
      <t>0</t>
    </r>
  </si>
  <si>
    <r>
      <t>Future value of prior enterprise cash flows: c</t>
    </r>
    <r>
      <rPr>
        <vertAlign val="subscript"/>
        <sz val="10"/>
        <rFont val="Verdana"/>
        <family val="2"/>
      </rPr>
      <t>-n</t>
    </r>
    <r>
      <rPr>
        <sz val="8"/>
        <rFont val="Verdana"/>
        <family val="2"/>
      </rPr>
      <t xml:space="preserve"> * (1+wacc)</t>
    </r>
    <r>
      <rPr>
        <vertAlign val="superscript"/>
        <sz val="10"/>
        <rFont val="Verdana"/>
        <family val="2"/>
      </rPr>
      <t>n</t>
    </r>
  </si>
  <si>
    <r>
      <t>Earnings foregone on prior enterprise cash flows: c</t>
    </r>
    <r>
      <rPr>
        <vertAlign val="subscript"/>
        <sz val="10"/>
        <rFont val="Verdana"/>
        <family val="2"/>
      </rPr>
      <t>-n</t>
    </r>
    <r>
      <rPr>
        <sz val="8"/>
        <rFont val="Verdana"/>
        <family val="2"/>
      </rPr>
      <t xml:space="preserve"> * (1+wacc)</t>
    </r>
    <r>
      <rPr>
        <vertAlign val="superscript"/>
        <sz val="10"/>
        <rFont val="Verdana"/>
        <family val="2"/>
      </rPr>
      <t>n</t>
    </r>
    <r>
      <rPr>
        <sz val="8"/>
        <rFont val="Verdana"/>
        <family val="2"/>
      </rPr>
      <t xml:space="preserve"> - c</t>
    </r>
    <r>
      <rPr>
        <vertAlign val="subscript"/>
        <sz val="10"/>
        <rFont val="Verdana"/>
        <family val="2"/>
      </rPr>
      <t>-n</t>
    </r>
  </si>
  <si>
    <t>+ Enterprise cash flows each year over the horizon</t>
  </si>
  <si>
    <t>Initial cash (outflow) to purchase the enterprise at NEA</t>
  </si>
  <si>
    <t>+ Enterprise cash inflow from the sale of the enterprise at NEA</t>
  </si>
  <si>
    <t>= Sum of hypothetical enterprise cash flows</t>
  </si>
  <si>
    <r>
      <t>h0: Hypothetical NEA had the enterprise cash flows been reinvested: NEA</t>
    </r>
    <r>
      <rPr>
        <vertAlign val="subscript"/>
        <sz val="10"/>
        <rFont val="Verdana"/>
        <family val="2"/>
      </rPr>
      <t>-6</t>
    </r>
    <r>
      <rPr>
        <sz val="8"/>
        <rFont val="Verdana"/>
        <family val="2"/>
      </rPr>
      <t xml:space="preserve"> + E</t>
    </r>
    <r>
      <rPr>
        <vertAlign val="subscript"/>
        <sz val="10"/>
        <rFont val="Verdana"/>
        <family val="2"/>
      </rPr>
      <t>0</t>
    </r>
    <r>
      <rPr>
        <sz val="8"/>
        <rFont val="Verdana"/>
        <family val="2"/>
      </rPr>
      <t xml:space="preserve"> + F</t>
    </r>
    <r>
      <rPr>
        <vertAlign val="subscript"/>
        <sz val="10"/>
        <rFont val="Verdana"/>
        <family val="2"/>
      </rPr>
      <t>0</t>
    </r>
  </si>
  <si>
    <t>Multiperiod return on invested capital</t>
  </si>
  <si>
    <t>OPTIONAL: IRR over gradually increasing time horizons</t>
  </si>
  <si>
    <t>Hypothetical cash flows going back 1 year</t>
  </si>
  <si>
    <t>IRR: Going back 1 year</t>
  </si>
  <si>
    <t>Hypothetical cash flows going back 2 years</t>
  </si>
  <si>
    <t>IRR: Going back 2 years</t>
  </si>
  <si>
    <t>Hypothetical cash flows going back 3 years</t>
  </si>
  <si>
    <t>IRR: Going back 3 years</t>
  </si>
  <si>
    <t>Hypothetical cash flows going back 4 years</t>
  </si>
  <si>
    <t>IRR: Going back 4 years</t>
  </si>
  <si>
    <t>Hypothetical cash flows going back 5 years</t>
  </si>
  <si>
    <t>IRR: Going back 5 years</t>
  </si>
  <si>
    <t>Earnings foregone on enterprise cash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</si>
</sst>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%"/>
    <numFmt numFmtId="165" formatCode="#,##0.0000_);[Red]\(#,##0.0000\)"/>
    <numFmt numFmtId="166" formatCode="#,##0.00%_);[Red]\(#,##0.00%\)"/>
    <numFmt numFmtId="167" formatCode="#,##0.00\d_);[Red]\(#,##0.00\d\)"/>
    <numFmt numFmtId="168" formatCode="#,##0.00\x_);[Red]\(#,##0.00\x\)"/>
    <numFmt numFmtId="169" formatCode="[$USD]\ #,##0.00_);[Red]\([$USD]\ #,##0.00\)"/>
  </numFmts>
  <fonts count="10" x14ac:knownFonts="1">
    <font>
      <sz val="8"/>
      <name val="Verdana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u/>
      <sz val="8"/>
      <color indexed="12"/>
      <name val="Verdana"/>
      <family val="2"/>
    </font>
    <font>
      <sz val="8"/>
      <color indexed="9"/>
      <name val="Verdana"/>
      <family val="2"/>
    </font>
    <font>
      <vertAlign val="subscript"/>
      <sz val="10"/>
      <name val="Verdana"/>
      <family val="2"/>
    </font>
    <font>
      <vertAlign val="superscript"/>
      <sz val="10"/>
      <name val="Verdana"/>
      <family val="2"/>
    </font>
    <font>
      <b/>
      <vertAlign val="superscript"/>
      <sz val="10"/>
      <name val="Verdana"/>
      <family val="2"/>
    </font>
    <font>
      <b/>
      <vertAlign val="subscript"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 applyFill="0" applyBorder="0" applyProtection="0"/>
    <xf numFmtId="164" fontId="1" fillId="0" borderId="0" applyFill="0" applyBorder="0" applyProtection="0"/>
    <xf numFmtId="167" fontId="2" fillId="0" borderId="0" applyFill="0" applyBorder="0" applyProtection="0"/>
    <xf numFmtId="168" fontId="2" fillId="0" borderId="0" applyFill="0" applyBorder="0" applyProtection="0"/>
    <xf numFmtId="40" fontId="2" fillId="0" borderId="0" applyFill="0" applyBorder="0" applyProtection="0"/>
    <xf numFmtId="166" fontId="2" fillId="0" borderId="0" applyFill="0" applyBorder="0" applyProtection="0"/>
    <xf numFmtId="0" fontId="2" fillId="0" borderId="0" applyNumberFormat="0" applyFill="0" applyBorder="0" applyProtection="0"/>
    <xf numFmtId="1" fontId="1" fillId="0" borderId="0" applyFill="0" applyBorder="0" applyProtection="0">
      <alignment horizontal="center"/>
    </xf>
    <xf numFmtId="167" fontId="1" fillId="0" borderId="0" applyFill="0" applyBorder="0" applyProtection="0"/>
    <xf numFmtId="0" fontId="3" fillId="0" borderId="0" applyNumberFormat="0" applyFill="0" applyBorder="0" applyProtection="0"/>
    <xf numFmtId="0" fontId="1" fillId="0" borderId="0" applyNumberFormat="0" applyFill="0" applyBorder="0" applyAlignment="0" applyProtection="0"/>
    <xf numFmtId="168" fontId="1" fillId="0" borderId="0" applyFill="0" applyBorder="0" applyProtection="0"/>
    <xf numFmtId="40" fontId="1" fillId="0" borderId="0" applyFill="0" applyBorder="0" applyProtection="0"/>
    <xf numFmtId="166" fontId="1" fillId="0" borderId="0" applyFill="0" applyBorder="0" applyProtection="0"/>
    <xf numFmtId="0" fontId="1" fillId="0" borderId="0" applyNumberFormat="0" applyFill="0" applyBorder="0" applyProtection="0"/>
    <xf numFmtId="169" fontId="1" fillId="0" borderId="0" applyFill="0" applyBorder="0" applyProtection="0">
      <alignment horizontal="right"/>
    </xf>
    <xf numFmtId="0" fontId="4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40" fontId="1" fillId="0" borderId="0" xfId="13"/>
    <xf numFmtId="0" fontId="0" fillId="0" borderId="1" xfId="0" applyBorder="1"/>
    <xf numFmtId="40" fontId="2" fillId="0" borderId="0" xfId="5"/>
    <xf numFmtId="0" fontId="5" fillId="0" borderId="2" xfId="0" applyFont="1" applyBorder="1"/>
    <xf numFmtId="0" fontId="0" fillId="0" borderId="0" xfId="0" applyBorder="1"/>
    <xf numFmtId="0" fontId="0" fillId="0" borderId="2" xfId="0" applyBorder="1"/>
    <xf numFmtId="40" fontId="1" fillId="0" borderId="1" xfId="13" applyBorder="1"/>
    <xf numFmtId="166" fontId="1" fillId="0" borderId="2" xfId="14" applyBorder="1"/>
    <xf numFmtId="0" fontId="4" fillId="0" borderId="0" xfId="17" applyAlignment="1" applyProtection="1"/>
    <xf numFmtId="40" fontId="2" fillId="0" borderId="1" xfId="5" applyBorder="1"/>
    <xf numFmtId="0" fontId="0" fillId="0" borderId="3" xfId="0" applyBorder="1"/>
    <xf numFmtId="40" fontId="1" fillId="0" borderId="3" xfId="13" applyBorder="1"/>
    <xf numFmtId="40" fontId="1" fillId="0" borderId="2" xfId="13" applyBorder="1"/>
    <xf numFmtId="0" fontId="3" fillId="2" borderId="0" xfId="10" applyFill="1"/>
    <xf numFmtId="0" fontId="0" fillId="2" borderId="0" xfId="0" applyFill="1" applyBorder="1"/>
    <xf numFmtId="40" fontId="2" fillId="2" borderId="0" xfId="5" applyFill="1" applyBorder="1"/>
    <xf numFmtId="2" fontId="0" fillId="2" borderId="0" xfId="0" applyNumberFormat="1" applyFill="1" applyBorder="1"/>
    <xf numFmtId="0" fontId="0" fillId="2" borderId="0" xfId="0" applyFill="1"/>
    <xf numFmtId="0" fontId="3" fillId="3" borderId="0" xfId="10" applyFill="1"/>
    <xf numFmtId="0" fontId="0" fillId="3" borderId="0" xfId="0" applyFill="1"/>
    <xf numFmtId="40" fontId="1" fillId="0" borderId="0" xfId="13" applyFill="1" applyBorder="1"/>
    <xf numFmtId="40" fontId="1" fillId="0" borderId="0" xfId="13" applyBorder="1"/>
    <xf numFmtId="0" fontId="3" fillId="0" borderId="0" xfId="10" applyBorder="1"/>
    <xf numFmtId="0" fontId="3" fillId="2" borderId="0" xfId="10" applyFill="1" applyBorder="1"/>
    <xf numFmtId="166" fontId="2" fillId="2" borderId="0" xfId="6" applyFill="1" applyBorder="1"/>
    <xf numFmtId="166" fontId="1" fillId="0" borderId="1" xfId="14" applyBorder="1"/>
    <xf numFmtId="166" fontId="1" fillId="0" borderId="0" xfId="14" applyBorder="1"/>
    <xf numFmtId="0" fontId="3" fillId="4" borderId="1" xfId="10" applyFill="1" applyBorder="1"/>
    <xf numFmtId="166" fontId="3" fillId="4" borderId="1" xfId="14" applyFont="1" applyFill="1" applyBorder="1"/>
    <xf numFmtId="0" fontId="3" fillId="4" borderId="2" xfId="10" applyFill="1" applyBorder="1"/>
    <xf numFmtId="166" fontId="2" fillId="0" borderId="2" xfId="6" applyBorder="1"/>
    <xf numFmtId="40" fontId="2" fillId="0" borderId="2" xfId="5" applyBorder="1"/>
    <xf numFmtId="0" fontId="4" fillId="5" borderId="0" xfId="17" applyFill="1" applyAlignment="1" applyProtection="1"/>
    <xf numFmtId="0" fontId="0" fillId="5" borderId="0" xfId="0" applyFill="1" applyBorder="1"/>
    <xf numFmtId="166" fontId="1" fillId="0" borderId="0" xfId="14" applyFill="1" applyBorder="1"/>
    <xf numFmtId="166" fontId="1" fillId="0" borderId="1" xfId="14" applyFill="1" applyBorder="1"/>
    <xf numFmtId="0" fontId="0" fillId="0" borderId="2" xfId="0" applyFill="1" applyBorder="1"/>
    <xf numFmtId="166" fontId="1" fillId="0" borderId="2" xfId="14" applyFill="1" applyBorder="1"/>
    <xf numFmtId="40" fontId="1" fillId="0" borderId="1" xfId="13" applyFill="1" applyBorder="1"/>
    <xf numFmtId="166" fontId="3" fillId="4" borderId="2" xfId="14" applyFont="1" applyFill="1" applyBorder="1"/>
    <xf numFmtId="40" fontId="1" fillId="0" borderId="0" xfId="13" applyFont="1" applyFill="1" applyBorder="1"/>
    <xf numFmtId="40" fontId="1" fillId="0" borderId="0" xfId="13" applyFont="1" applyBorder="1"/>
    <xf numFmtId="40" fontId="2" fillId="0" borderId="0" xfId="5" applyFont="1" applyBorder="1"/>
    <xf numFmtId="40" fontId="2" fillId="0" borderId="0" xfId="5" applyFont="1"/>
    <xf numFmtId="40" fontId="2" fillId="0" borderId="2" xfId="5" applyFont="1" applyBorder="1"/>
    <xf numFmtId="166" fontId="2" fillId="0" borderId="0" xfId="6" applyBorder="1"/>
    <xf numFmtId="40" fontId="2" fillId="0" borderId="0" xfId="5" applyBorder="1"/>
    <xf numFmtId="40" fontId="1" fillId="0" borderId="0" xfId="13" applyFont="1"/>
    <xf numFmtId="40" fontId="1" fillId="0" borderId="0" xfId="13" quotePrefix="1" applyFont="1"/>
    <xf numFmtId="40" fontId="1" fillId="0" borderId="1" xfId="13" applyFont="1" applyBorder="1"/>
    <xf numFmtId="40" fontId="2" fillId="0" borderId="1" xfId="5" applyFont="1" applyBorder="1"/>
    <xf numFmtId="38" fontId="0" fillId="5" borderId="0" xfId="0" applyNumberFormat="1" applyFill="1" applyBorder="1"/>
    <xf numFmtId="38" fontId="0" fillId="5" borderId="1" xfId="0" applyNumberFormat="1" applyFill="1" applyBorder="1"/>
    <xf numFmtId="40" fontId="1" fillId="0" borderId="1" xfId="13" applyFont="1" applyFill="1" applyBorder="1"/>
    <xf numFmtId="40" fontId="1" fillId="0" borderId="0" xfId="13" quotePrefix="1" applyFont="1" applyBorder="1"/>
    <xf numFmtId="40" fontId="1" fillId="0" borderId="2" xfId="13" quotePrefix="1" applyFont="1" applyBorder="1"/>
    <xf numFmtId="40" fontId="1" fillId="0" borderId="3" xfId="13" applyFont="1" applyFill="1" applyBorder="1"/>
    <xf numFmtId="40" fontId="2" fillId="5" borderId="0" xfId="5" applyFill="1" applyBorder="1"/>
    <xf numFmtId="166" fontId="1" fillId="0" borderId="0" xfId="14"/>
    <xf numFmtId="0" fontId="0" fillId="0" borderId="4" xfId="0" applyBorder="1"/>
    <xf numFmtId="166" fontId="1" fillId="0" borderId="4" xfId="14" applyBorder="1"/>
    <xf numFmtId="168" fontId="1" fillId="0" borderId="2" xfId="12" applyBorder="1"/>
    <xf numFmtId="0" fontId="3" fillId="4" borderId="1" xfId="10" applyFont="1" applyFill="1" applyBorder="1"/>
    <xf numFmtId="0" fontId="3" fillId="2" borderId="0" xfId="10" applyFont="1" applyFill="1" applyBorder="1"/>
    <xf numFmtId="0" fontId="3" fillId="2" borderId="0" xfId="10" applyFont="1" applyFill="1"/>
    <xf numFmtId="0" fontId="3" fillId="4" borderId="2" xfId="10" applyFont="1" applyFill="1" applyBorder="1"/>
    <xf numFmtId="40" fontId="3" fillId="4" borderId="2" xfId="13" applyFont="1" applyFill="1" applyBorder="1"/>
    <xf numFmtId="40" fontId="1" fillId="0" borderId="0" xfId="13" applyNumberFormat="1"/>
    <xf numFmtId="0" fontId="1" fillId="0" borderId="0" xfId="11"/>
    <xf numFmtId="40" fontId="3" fillId="6" borderId="0" xfId="10" applyNumberFormat="1" applyFill="1" applyBorder="1" applyAlignment="1"/>
    <xf numFmtId="40" fontId="2" fillId="6" borderId="0" xfId="5" applyFill="1" applyBorder="1"/>
    <xf numFmtId="40" fontId="1" fillId="6" borderId="0" xfId="13" applyFill="1" applyBorder="1"/>
  </cellXfs>
  <cellStyles count="18">
    <cellStyle name="g4Num" xfId="1"/>
    <cellStyle name="g4Percent" xfId="2"/>
    <cellStyle name="gAsDays" xfId="3"/>
    <cellStyle name="gAsMultiple" xfId="4"/>
    <cellStyle name="gAsNum" xfId="5"/>
    <cellStyle name="gAsPercent" xfId="6"/>
    <cellStyle name="gAsText" xfId="7"/>
    <cellStyle name="gColumnTop" xfId="8"/>
    <cellStyle name="gDays" xfId="9"/>
    <cellStyle name="gHeading" xfId="10"/>
    <cellStyle name="gLastStep" xfId="11"/>
    <cellStyle name="gMultiple" xfId="12"/>
    <cellStyle name="gNum" xfId="13"/>
    <cellStyle name="gPercent" xfId="14"/>
    <cellStyle name="gText" xfId="15"/>
    <cellStyle name="gUSD" xfId="16"/>
    <cellStyle name="Hyperlink" xfId="17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1190625</xdr:colOff>
      <xdr:row>0</xdr:row>
      <xdr:rowOff>47625</xdr:rowOff>
    </xdr:from>
    <xdr:to>
      <xdr:col>3</xdr:col>
      <xdr:colOff>285750</xdr:colOff>
      <xdr:row>2</xdr:row>
      <xdr:rowOff>76200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190625" y="47625"/>
          <a:ext cx="46196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Multiperiod Return on Invested Capital and Enterprise IRR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© Dan Gode and James Ohlson</a:t>
          </a:r>
          <a:endParaRPr lang="en-US"/>
        </a:p>
      </xdr:txBody>
    </xdr:sp>
    <xdr:clientData/>
  </xdr:twoCellAnchor>
  <xdr:twoCellAnchor editAs="oneCell">
    <xdr:from>
      <xdr:col>0</xdr:col>
      <xdr:colOff>38100</xdr:colOff>
      <xdr:row>3</xdr:row>
      <xdr:rowOff>9525</xdr:rowOff>
    </xdr:from>
    <xdr:to>
      <xdr:col>5</xdr:col>
      <xdr:colOff>523875</xdr:colOff>
      <xdr:row>8</xdr:row>
      <xdr:rowOff>85725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8100" y="409575"/>
          <a:ext cx="7077075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Enter data in all cells with green numbers, and only such cells. (Some green cells have formulas set up for simulations; overwrite them with your numbers.) Some spreadsheets require lines to be read out of order. 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"Click below" steps in the rightmost column indicate the sequence in which the lines should be read logically. Clicking a number will take you to the next number in sequence. These steps have been elaborated upon in the accompanying document.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L67"/>
  <sheetViews>
    <sheetView showGridLines="0" tabSelected="1" zoomScaleNormal="100" workbookViewId="0"/>
  </sheetViews>
  <sheetFormatPr defaultRowHeight="10.5" outlineLevelRow="1" x14ac:dyDescent="0.15"/>
  <cols>
    <col min="1" max="1" width="73.5703125" bestFit="1" customWidth="1"/>
    <col min="2" max="2" width="0.7109375" customWidth="1"/>
    <col min="3" max="3" width="8.5703125" bestFit="1" customWidth="1"/>
    <col min="4" max="8" width="8" bestFit="1" customWidth="1"/>
    <col min="9" max="9" width="9" bestFit="1" customWidth="1"/>
    <col min="10" max="10" width="1.85546875" bestFit="1" customWidth="1"/>
    <col min="11" max="11" width="9.28515625" bestFit="1" customWidth="1"/>
  </cols>
  <sheetData>
    <row r="8" spans="1:11" x14ac:dyDescent="0.15">
      <c r="A8" s="5"/>
      <c r="B8" s="5"/>
      <c r="C8" s="5"/>
      <c r="D8" s="5"/>
      <c r="E8" s="5"/>
      <c r="F8" s="5"/>
      <c r="G8" s="5"/>
      <c r="H8" s="5"/>
      <c r="I8" s="5"/>
    </row>
    <row r="10" spans="1:11" ht="11.25" thickBot="1" x14ac:dyDescent="0.2">
      <c r="A10" s="6"/>
      <c r="B10" s="6"/>
      <c r="C10" s="6"/>
      <c r="D10" s="6"/>
      <c r="E10" s="6"/>
      <c r="F10" s="6"/>
      <c r="G10" s="6"/>
      <c r="H10" s="6"/>
      <c r="I10" s="6"/>
      <c r="K10" s="4"/>
    </row>
    <row r="11" spans="1:11" ht="11.25" thickTop="1" x14ac:dyDescent="0.15">
      <c r="A11" s="19" t="s">
        <v>0</v>
      </c>
      <c r="B11" s="20"/>
      <c r="C11" s="19">
        <v>-6</v>
      </c>
      <c r="D11" s="19">
        <v>-5</v>
      </c>
      <c r="E11" s="19">
        <v>-4</v>
      </c>
      <c r="F11" s="19">
        <v>-3</v>
      </c>
      <c r="G11" s="19">
        <v>-2</v>
      </c>
      <c r="H11" s="19">
        <v>-1</v>
      </c>
      <c r="I11" s="19">
        <v>0</v>
      </c>
      <c r="K11" s="33" t="s">
        <v>3</v>
      </c>
    </row>
    <row r="12" spans="1:11" x14ac:dyDescent="0.15">
      <c r="A12" s="44" t="s">
        <v>6</v>
      </c>
      <c r="B12" s="3"/>
      <c r="C12" s="3">
        <f>D16/14%</f>
        <v>50</v>
      </c>
      <c r="D12" s="3">
        <f>E16/13%</f>
        <v>65.846153846153854</v>
      </c>
      <c r="E12" s="3">
        <f>F16/4%</f>
        <v>28.355</v>
      </c>
      <c r="F12" s="3">
        <f>G16/12%</f>
        <v>55.575800000000001</v>
      </c>
      <c r="G12" s="3">
        <f>H16/11%</f>
        <v>94.579906909090909</v>
      </c>
      <c r="H12" s="3">
        <f>I16/13%</f>
        <v>28.010203199999999</v>
      </c>
      <c r="I12" s="3">
        <f>H12*(1+7%)</f>
        <v>29.970917424</v>
      </c>
      <c r="K12" s="9">
        <v>1</v>
      </c>
    </row>
    <row r="13" spans="1:11" x14ac:dyDescent="0.15">
      <c r="A13" s="43" t="s">
        <v>7</v>
      </c>
      <c r="B13" s="5"/>
      <c r="C13" s="3">
        <f t="shared" ref="C13:I13" si="0">C12*25%</f>
        <v>12.5</v>
      </c>
      <c r="D13" s="3">
        <f t="shared" si="0"/>
        <v>16.461538461538463</v>
      </c>
      <c r="E13" s="3">
        <f t="shared" si="0"/>
        <v>7.0887500000000001</v>
      </c>
      <c r="F13" s="3">
        <f t="shared" si="0"/>
        <v>13.89395</v>
      </c>
      <c r="G13" s="3">
        <f t="shared" si="0"/>
        <v>23.644976727272727</v>
      </c>
      <c r="H13" s="3">
        <f t="shared" si="0"/>
        <v>7.0025507999999999</v>
      </c>
      <c r="I13" s="3">
        <f t="shared" si="0"/>
        <v>7.4927293559999999</v>
      </c>
      <c r="K13" s="9">
        <f>K12+1</f>
        <v>2</v>
      </c>
    </row>
    <row r="14" spans="1:11" x14ac:dyDescent="0.15">
      <c r="A14" s="51" t="s">
        <v>8</v>
      </c>
      <c r="B14" s="10"/>
      <c r="C14" s="10">
        <f t="shared" ref="C14:I14" si="1">C12*10%</f>
        <v>5</v>
      </c>
      <c r="D14" s="10">
        <f t="shared" si="1"/>
        <v>6.5846153846153861</v>
      </c>
      <c r="E14" s="10">
        <f t="shared" si="1"/>
        <v>2.8355000000000001</v>
      </c>
      <c r="F14" s="10">
        <f t="shared" si="1"/>
        <v>5.5575800000000006</v>
      </c>
      <c r="G14" s="10">
        <f t="shared" si="1"/>
        <v>9.4579906909090905</v>
      </c>
      <c r="H14" s="10">
        <f t="shared" si="1"/>
        <v>2.8010203200000001</v>
      </c>
      <c r="I14" s="10">
        <f t="shared" si="1"/>
        <v>2.9970917424000003</v>
      </c>
      <c r="K14" s="9">
        <f>K13+1</f>
        <v>3</v>
      </c>
    </row>
    <row r="15" spans="1:11" x14ac:dyDescent="0.15">
      <c r="A15" s="43" t="s">
        <v>14</v>
      </c>
      <c r="B15" s="47"/>
      <c r="C15" s="58"/>
      <c r="D15" s="47">
        <v>100</v>
      </c>
      <c r="E15" s="47">
        <f>D15*(1+7%)</f>
        <v>107</v>
      </c>
      <c r="F15" s="47">
        <f>E15*(1+6%)</f>
        <v>113.42</v>
      </c>
      <c r="G15" s="47">
        <f>F15*(1-2%)</f>
        <v>111.1516</v>
      </c>
      <c r="H15" s="47">
        <f>G15*(1+4%)</f>
        <v>115.59766400000001</v>
      </c>
      <c r="I15" s="47">
        <f>H15*(1+5%)</f>
        <v>121.37754720000001</v>
      </c>
      <c r="K15" s="9">
        <f>K59+1</f>
        <v>32</v>
      </c>
    </row>
    <row r="16" spans="1:11" x14ac:dyDescent="0.15">
      <c r="A16" s="43" t="s">
        <v>9</v>
      </c>
      <c r="B16" s="46"/>
      <c r="C16" s="34"/>
      <c r="D16" s="47">
        <f>D15*7%</f>
        <v>7.0000000000000009</v>
      </c>
      <c r="E16" s="47">
        <f>E15*8%</f>
        <v>8.56</v>
      </c>
      <c r="F16" s="47">
        <f>F15*1%</f>
        <v>1.1342000000000001</v>
      </c>
      <c r="G16" s="47">
        <f>G15*6%</f>
        <v>6.6690959999999997</v>
      </c>
      <c r="H16" s="47">
        <f>H15*9%</f>
        <v>10.40378976</v>
      </c>
      <c r="I16" s="47">
        <f>I15*3%</f>
        <v>3.6413264160000001</v>
      </c>
      <c r="K16" s="9">
        <f>K21+1</f>
        <v>5</v>
      </c>
    </row>
    <row r="17" spans="1:12" x14ac:dyDescent="0.15">
      <c r="A17" s="43" t="s">
        <v>12</v>
      </c>
      <c r="B17" s="5"/>
      <c r="C17" s="52"/>
      <c r="D17" s="47">
        <f t="shared" ref="D17:I17" si="2">D18*60%</f>
        <v>0.2379</v>
      </c>
      <c r="E17" s="47">
        <f t="shared" si="2"/>
        <v>0.31329600000000002</v>
      </c>
      <c r="F17" s="47">
        <f t="shared" si="2"/>
        <v>0.13491308999999999</v>
      </c>
      <c r="G17" s="47">
        <f t="shared" si="2"/>
        <v>0.26442965639999993</v>
      </c>
      <c r="H17" s="47">
        <f t="shared" si="2"/>
        <v>0.45001119707345449</v>
      </c>
      <c r="I17" s="47">
        <f t="shared" si="2"/>
        <v>0.1332725468256</v>
      </c>
      <c r="K17" s="9">
        <f>K16+1</f>
        <v>6</v>
      </c>
    </row>
    <row r="18" spans="1:12" x14ac:dyDescent="0.15">
      <c r="A18" s="51" t="s">
        <v>10</v>
      </c>
      <c r="B18" s="2"/>
      <c r="C18" s="53"/>
      <c r="D18" s="10">
        <f t="shared" ref="D18:I18" si="3">(C13*6%-C14*2%)*(1-39%)</f>
        <v>0.39650000000000002</v>
      </c>
      <c r="E18" s="10">
        <f t="shared" si="3"/>
        <v>0.52216000000000007</v>
      </c>
      <c r="F18" s="10">
        <f t="shared" si="3"/>
        <v>0.22485515</v>
      </c>
      <c r="G18" s="10">
        <f t="shared" si="3"/>
        <v>0.44071609399999995</v>
      </c>
      <c r="H18" s="10">
        <f t="shared" si="3"/>
        <v>0.75001866178909082</v>
      </c>
      <c r="I18" s="10">
        <f t="shared" si="3"/>
        <v>0.22212091137599999</v>
      </c>
      <c r="K18" s="9">
        <f>K17+1</f>
        <v>7</v>
      </c>
    </row>
    <row r="19" spans="1:12" ht="11.25" thickBot="1" x14ac:dyDescent="0.2">
      <c r="A19" s="45" t="s">
        <v>4</v>
      </c>
      <c r="B19" s="31"/>
      <c r="C19" s="31">
        <v>0.1</v>
      </c>
      <c r="D19" s="32"/>
      <c r="E19" s="32"/>
      <c r="F19" s="32"/>
      <c r="G19" s="32"/>
      <c r="H19" s="32"/>
      <c r="I19" s="32"/>
      <c r="K19" s="9">
        <f>K33+1</f>
        <v>19</v>
      </c>
    </row>
    <row r="20" spans="1:12" ht="11.25" thickTop="1" x14ac:dyDescent="0.15">
      <c r="A20" s="24" t="s">
        <v>1</v>
      </c>
      <c r="B20" s="25"/>
      <c r="C20" s="25"/>
      <c r="D20" s="16"/>
      <c r="E20" s="16"/>
      <c r="F20" s="16"/>
      <c r="G20" s="16"/>
      <c r="H20" s="16"/>
      <c r="I20" s="16"/>
    </row>
    <row r="21" spans="1:12" x14ac:dyDescent="0.15">
      <c r="A21" s="54" t="s">
        <v>11</v>
      </c>
      <c r="B21" s="2"/>
      <c r="C21" s="7">
        <f t="shared" ref="C21:I21" si="4">C12+C13-C14</f>
        <v>57.5</v>
      </c>
      <c r="D21" s="7">
        <f t="shared" si="4"/>
        <v>75.723076923076931</v>
      </c>
      <c r="E21" s="7">
        <f t="shared" si="4"/>
        <v>32.608249999999998</v>
      </c>
      <c r="F21" s="7">
        <f t="shared" si="4"/>
        <v>63.912170000000003</v>
      </c>
      <c r="G21" s="7">
        <f t="shared" si="4"/>
        <v>108.76689294545456</v>
      </c>
      <c r="H21" s="7">
        <f t="shared" si="4"/>
        <v>32.211733680000002</v>
      </c>
      <c r="I21" s="7">
        <f t="shared" si="4"/>
        <v>34.466555037599996</v>
      </c>
      <c r="K21" s="9">
        <f>K14+1</f>
        <v>4</v>
      </c>
    </row>
    <row r="22" spans="1:12" x14ac:dyDescent="0.15">
      <c r="A22" s="48" t="s">
        <v>22</v>
      </c>
      <c r="C22" s="1"/>
      <c r="D22" s="1">
        <f t="shared" ref="D22:I22" si="5">D16-D17+D18</f>
        <v>7.1586000000000007</v>
      </c>
      <c r="E22" s="1">
        <f t="shared" si="5"/>
        <v>8.7688640000000007</v>
      </c>
      <c r="F22" s="1">
        <f t="shared" si="5"/>
        <v>1.2241420600000001</v>
      </c>
      <c r="G22" s="1">
        <f t="shared" si="5"/>
        <v>6.8453824375999996</v>
      </c>
      <c r="H22" s="1">
        <f t="shared" si="5"/>
        <v>10.703797224715636</v>
      </c>
      <c r="I22" s="1">
        <f t="shared" si="5"/>
        <v>3.7301747805503997</v>
      </c>
      <c r="K22" s="9">
        <f>K18+1</f>
        <v>8</v>
      </c>
    </row>
    <row r="23" spans="1:12" ht="14.25" x14ac:dyDescent="0.25">
      <c r="A23" s="50" t="s">
        <v>24</v>
      </c>
      <c r="B23" s="2"/>
      <c r="C23" s="39"/>
      <c r="D23" s="7"/>
      <c r="E23" s="7"/>
      <c r="F23" s="7"/>
      <c r="G23" s="7"/>
      <c r="H23" s="7"/>
      <c r="I23" s="7">
        <f>SUM(D22:I22)</f>
        <v>38.430960502866036</v>
      </c>
      <c r="K23" s="9">
        <f>K22+1</f>
        <v>9</v>
      </c>
    </row>
    <row r="24" spans="1:12" x14ac:dyDescent="0.15">
      <c r="A24" s="42" t="s">
        <v>23</v>
      </c>
      <c r="B24" s="5"/>
      <c r="C24" s="21"/>
      <c r="D24" s="22">
        <f t="shared" ref="D24:I24" si="6">D22</f>
        <v>7.1586000000000007</v>
      </c>
      <c r="E24" s="22">
        <f t="shared" si="6"/>
        <v>8.7688640000000007</v>
      </c>
      <c r="F24" s="22">
        <f t="shared" si="6"/>
        <v>1.2241420600000001</v>
      </c>
      <c r="G24" s="22">
        <f t="shared" si="6"/>
        <v>6.8453824375999996</v>
      </c>
      <c r="H24" s="22">
        <f t="shared" si="6"/>
        <v>10.703797224715636</v>
      </c>
      <c r="I24" s="22">
        <f t="shared" si="6"/>
        <v>3.7301747805503997</v>
      </c>
      <c r="K24" s="9">
        <f>K23+1</f>
        <v>10</v>
      </c>
    </row>
    <row r="25" spans="1:12" x14ac:dyDescent="0.15">
      <c r="A25" s="48" t="s">
        <v>5</v>
      </c>
      <c r="C25" s="1"/>
      <c r="D25" s="1">
        <f t="shared" ref="D25:I25" si="7">-(D21-C21)</f>
        <v>-18.223076923076931</v>
      </c>
      <c r="E25" s="1">
        <f t="shared" si="7"/>
        <v>43.114826923076933</v>
      </c>
      <c r="F25" s="1">
        <f t="shared" si="7"/>
        <v>-31.303920000000005</v>
      </c>
      <c r="G25" s="1">
        <f t="shared" si="7"/>
        <v>-44.854722945454554</v>
      </c>
      <c r="H25" s="1">
        <f t="shared" si="7"/>
        <v>76.555159265454563</v>
      </c>
      <c r="I25" s="1">
        <f t="shared" si="7"/>
        <v>-2.2548213575999938</v>
      </c>
      <c r="K25" s="9">
        <f>K24+1</f>
        <v>11</v>
      </c>
    </row>
    <row r="26" spans="1:12" x14ac:dyDescent="0.15">
      <c r="A26" s="55" t="s">
        <v>13</v>
      </c>
      <c r="B26" s="5"/>
      <c r="C26" s="22"/>
      <c r="D26" s="22">
        <f t="shared" ref="D26:I26" si="8">SUM(D24:D25)</f>
        <v>-11.064476923076931</v>
      </c>
      <c r="E26" s="22">
        <f t="shared" si="8"/>
        <v>51.883690923076934</v>
      </c>
      <c r="F26" s="22">
        <f t="shared" si="8"/>
        <v>-30.079777940000007</v>
      </c>
      <c r="G26" s="22">
        <f t="shared" si="8"/>
        <v>-38.009340507854553</v>
      </c>
      <c r="H26" s="22">
        <f t="shared" si="8"/>
        <v>87.258956490170192</v>
      </c>
      <c r="I26" s="22">
        <f t="shared" si="8"/>
        <v>1.4753534229504059</v>
      </c>
      <c r="K26" s="9">
        <f>K25+1</f>
        <v>12</v>
      </c>
    </row>
    <row r="27" spans="1:12" ht="14.25" x14ac:dyDescent="0.25">
      <c r="A27" s="50" t="s">
        <v>25</v>
      </c>
      <c r="B27" s="10"/>
      <c r="C27" s="39"/>
      <c r="D27" s="7"/>
      <c r="E27" s="7"/>
      <c r="F27" s="7"/>
      <c r="G27" s="7"/>
      <c r="H27" s="7"/>
      <c r="I27" s="7">
        <f>SUM(D26:I26)</f>
        <v>61.46440546526604</v>
      </c>
      <c r="K27" s="9">
        <f>K26+1</f>
        <v>13</v>
      </c>
    </row>
    <row r="28" spans="1:12" x14ac:dyDescent="0.15">
      <c r="A28" s="65" t="s">
        <v>31</v>
      </c>
      <c r="B28" s="18"/>
      <c r="C28" s="18"/>
      <c r="D28" s="18"/>
      <c r="E28" s="18"/>
      <c r="F28" s="18"/>
      <c r="G28" s="18"/>
      <c r="H28" s="18"/>
      <c r="I28" s="18"/>
    </row>
    <row r="29" spans="1:12" x14ac:dyDescent="0.15">
      <c r="A29" s="48" t="s">
        <v>39</v>
      </c>
      <c r="C29" s="1">
        <f>-C21</f>
        <v>-57.5</v>
      </c>
      <c r="D29" s="1"/>
      <c r="E29" s="1"/>
      <c r="F29" s="1"/>
      <c r="G29" s="1"/>
      <c r="H29" s="1"/>
      <c r="I29" s="1"/>
      <c r="K29" s="9">
        <f>K27+1</f>
        <v>14</v>
      </c>
      <c r="L29" s="69"/>
    </row>
    <row r="30" spans="1:12" x14ac:dyDescent="0.15">
      <c r="A30" s="49" t="s">
        <v>38</v>
      </c>
      <c r="C30" s="1"/>
      <c r="D30" s="1">
        <f t="shared" ref="D30:I30" si="9">D26</f>
        <v>-11.064476923076931</v>
      </c>
      <c r="E30" s="1">
        <f t="shared" si="9"/>
        <v>51.883690923076934</v>
      </c>
      <c r="F30" s="1">
        <f t="shared" si="9"/>
        <v>-30.079777940000007</v>
      </c>
      <c r="G30" s="1">
        <f t="shared" si="9"/>
        <v>-38.009340507854553</v>
      </c>
      <c r="H30" s="1">
        <f t="shared" si="9"/>
        <v>87.258956490170192</v>
      </c>
      <c r="I30" s="1">
        <f t="shared" si="9"/>
        <v>1.4753534229504059</v>
      </c>
      <c r="K30" s="9">
        <f>K29+1</f>
        <v>15</v>
      </c>
    </row>
    <row r="31" spans="1:12" x14ac:dyDescent="0.15">
      <c r="A31" s="49" t="s">
        <v>40</v>
      </c>
      <c r="C31" s="1"/>
      <c r="D31" s="1"/>
      <c r="E31" s="1"/>
      <c r="F31" s="1"/>
      <c r="G31" s="1"/>
      <c r="H31" s="1"/>
      <c r="I31" s="1">
        <f>I21</f>
        <v>34.466555037599996</v>
      </c>
      <c r="K31" s="9">
        <f>K30+1</f>
        <v>16</v>
      </c>
    </row>
    <row r="32" spans="1:12" x14ac:dyDescent="0.15">
      <c r="A32" s="49" t="s">
        <v>41</v>
      </c>
      <c r="C32" s="1">
        <f t="shared" ref="C32:I32" si="10">SUM(C29:C31)</f>
        <v>-57.5</v>
      </c>
      <c r="D32" s="1">
        <f t="shared" si="10"/>
        <v>-11.064476923076931</v>
      </c>
      <c r="E32" s="1">
        <f t="shared" si="10"/>
        <v>51.883690923076934</v>
      </c>
      <c r="F32" s="1">
        <f t="shared" si="10"/>
        <v>-30.079777940000007</v>
      </c>
      <c r="G32" s="1">
        <f t="shared" si="10"/>
        <v>-38.009340507854553</v>
      </c>
      <c r="H32" s="1">
        <f t="shared" si="10"/>
        <v>87.258956490170192</v>
      </c>
      <c r="I32" s="1">
        <f t="shared" si="10"/>
        <v>35.941908460550401</v>
      </c>
      <c r="K32" s="9">
        <f>K31+1</f>
        <v>17</v>
      </c>
    </row>
    <row r="33" spans="1:11" ht="11.25" thickBot="1" x14ac:dyDescent="0.2">
      <c r="A33" s="66" t="s">
        <v>31</v>
      </c>
      <c r="B33" s="30"/>
      <c r="C33" s="37"/>
      <c r="D33" s="38"/>
      <c r="E33" s="38"/>
      <c r="F33" s="38"/>
      <c r="G33" s="38"/>
      <c r="H33" s="38"/>
      <c r="I33" s="40">
        <f>IRR(C32:I32)</f>
        <v>0.10462036898407323</v>
      </c>
      <c r="K33" s="9">
        <f>K32+1</f>
        <v>18</v>
      </c>
    </row>
    <row r="34" spans="1:11" ht="11.25" outlineLevel="1" thickTop="1" x14ac:dyDescent="0.15">
      <c r="A34" s="65" t="s">
        <v>44</v>
      </c>
      <c r="B34" s="18"/>
      <c r="C34" s="18"/>
      <c r="D34" s="18"/>
      <c r="E34" s="18"/>
      <c r="F34" s="18"/>
      <c r="G34" s="18"/>
      <c r="H34" s="18"/>
      <c r="I34" s="18"/>
    </row>
    <row r="35" spans="1:11" outlineLevel="1" x14ac:dyDescent="0.15">
      <c r="A35" t="s">
        <v>45</v>
      </c>
      <c r="D35" s="1"/>
      <c r="E35" s="1"/>
      <c r="F35" s="1"/>
      <c r="G35" s="1"/>
      <c r="H35" s="1">
        <f>-H21</f>
        <v>-32.211733680000002</v>
      </c>
      <c r="I35" s="1">
        <f>I32</f>
        <v>35.941908460550401</v>
      </c>
    </row>
    <row r="36" spans="1:11" outlineLevel="1" x14ac:dyDescent="0.15">
      <c r="A36" s="2" t="s">
        <v>46</v>
      </c>
      <c r="B36" s="2"/>
      <c r="C36" s="2"/>
      <c r="D36" s="7"/>
      <c r="E36" s="7"/>
      <c r="F36" s="7"/>
      <c r="G36" s="7"/>
      <c r="H36" s="7"/>
      <c r="I36" s="26">
        <f>IRR(H35:I35)</f>
        <v>0.11580173913043468</v>
      </c>
    </row>
    <row r="37" spans="1:11" outlineLevel="1" x14ac:dyDescent="0.15">
      <c r="A37" t="s">
        <v>47</v>
      </c>
      <c r="D37" s="1"/>
      <c r="E37" s="1"/>
      <c r="F37" s="1"/>
      <c r="G37" s="1">
        <f>-G21</f>
        <v>-108.76689294545456</v>
      </c>
      <c r="H37" s="1">
        <f>H32</f>
        <v>87.258956490170192</v>
      </c>
      <c r="I37" s="1">
        <f>I32</f>
        <v>35.941908460550401</v>
      </c>
    </row>
    <row r="38" spans="1:11" outlineLevel="1" x14ac:dyDescent="0.15">
      <c r="A38" s="2" t="s">
        <v>48</v>
      </c>
      <c r="B38" s="2"/>
      <c r="C38" s="2"/>
      <c r="D38" s="7"/>
      <c r="E38" s="7"/>
      <c r="F38" s="7"/>
      <c r="G38" s="7"/>
      <c r="H38" s="7"/>
      <c r="I38" s="26">
        <f>IRR(G37:I37)</f>
        <v>0.10209397470693315</v>
      </c>
    </row>
    <row r="39" spans="1:11" outlineLevel="1" x14ac:dyDescent="0.15">
      <c r="A39" t="s">
        <v>49</v>
      </c>
      <c r="D39" s="1"/>
      <c r="E39" s="1"/>
      <c r="F39" s="1">
        <f>-F21</f>
        <v>-63.912170000000003</v>
      </c>
      <c r="G39" s="1">
        <f>G32</f>
        <v>-38.009340507854553</v>
      </c>
      <c r="H39" s="1">
        <f>H32</f>
        <v>87.258956490170192</v>
      </c>
      <c r="I39" s="1">
        <f>I32</f>
        <v>35.941908460550401</v>
      </c>
    </row>
    <row r="40" spans="1:11" outlineLevel="1" x14ac:dyDescent="0.15">
      <c r="A40" s="2" t="s">
        <v>50</v>
      </c>
      <c r="B40" s="2"/>
      <c r="C40" s="2"/>
      <c r="D40" s="7"/>
      <c r="E40" s="7"/>
      <c r="F40" s="7"/>
      <c r="G40" s="7"/>
      <c r="H40" s="7"/>
      <c r="I40" s="26">
        <f>IRR(F39:I39)</f>
        <v>0.10378690092812093</v>
      </c>
    </row>
    <row r="41" spans="1:11" outlineLevel="1" x14ac:dyDescent="0.15">
      <c r="A41" t="s">
        <v>51</v>
      </c>
      <c r="D41" s="1"/>
      <c r="E41" s="1">
        <f>-E21</f>
        <v>-32.608249999999998</v>
      </c>
      <c r="F41" s="1">
        <f>F32</f>
        <v>-30.079777940000007</v>
      </c>
      <c r="G41" s="1">
        <f>G32</f>
        <v>-38.009340507854553</v>
      </c>
      <c r="H41" s="1">
        <f>H32</f>
        <v>87.258956490170192</v>
      </c>
      <c r="I41" s="1">
        <f>I32</f>
        <v>35.941908460550401</v>
      </c>
    </row>
    <row r="42" spans="1:11" outlineLevel="1" x14ac:dyDescent="0.15">
      <c r="A42" s="2" t="s">
        <v>52</v>
      </c>
      <c r="B42" s="2"/>
      <c r="C42" s="2"/>
      <c r="D42" s="7"/>
      <c r="E42" s="7"/>
      <c r="F42" s="7"/>
      <c r="G42" s="7"/>
      <c r="H42" s="7"/>
      <c r="I42" s="26">
        <f>IRR(E41:I41)</f>
        <v>9.3340678959019208E-2</v>
      </c>
    </row>
    <row r="43" spans="1:11" outlineLevel="1" x14ac:dyDescent="0.15">
      <c r="A43" t="s">
        <v>53</v>
      </c>
      <c r="D43" s="1">
        <f>-D21</f>
        <v>-75.723076923076931</v>
      </c>
      <c r="E43" s="1">
        <f>E32</f>
        <v>51.883690923076934</v>
      </c>
      <c r="F43" s="1">
        <f>F32</f>
        <v>-30.079777940000007</v>
      </c>
      <c r="G43" s="1">
        <f>G32</f>
        <v>-38.009340507854553</v>
      </c>
      <c r="H43" s="1">
        <f>H32</f>
        <v>87.258956490170192</v>
      </c>
      <c r="I43" s="1">
        <f>I32</f>
        <v>35.941908460550401</v>
      </c>
    </row>
    <row r="44" spans="1:11" ht="11.25" outlineLevel="1" thickBot="1" x14ac:dyDescent="0.2">
      <c r="A44" s="6" t="s">
        <v>54</v>
      </c>
      <c r="B44" s="6"/>
      <c r="C44" s="6"/>
      <c r="D44" s="13"/>
      <c r="E44" s="13"/>
      <c r="F44" s="13"/>
      <c r="G44" s="13"/>
      <c r="H44" s="13"/>
      <c r="I44" s="8">
        <f>IRR(D43:I43)</f>
        <v>9.9763772434223519E-2</v>
      </c>
    </row>
    <row r="45" spans="1:11" ht="11.25" thickTop="1" x14ac:dyDescent="0.15">
      <c r="A45" s="70" t="s">
        <v>55</v>
      </c>
      <c r="B45" s="71"/>
      <c r="C45" s="72"/>
      <c r="D45" s="72"/>
      <c r="E45" s="72"/>
      <c r="F45" s="72"/>
      <c r="G45" s="72"/>
      <c r="H45" s="72"/>
      <c r="I45" s="72"/>
    </row>
    <row r="46" spans="1:11" ht="15" x14ac:dyDescent="0.2">
      <c r="A46" s="48" t="s">
        <v>32</v>
      </c>
      <c r="C46" s="1"/>
      <c r="D46" s="68">
        <f>(1+$C$19)^(-D11)</f>
        <v>1.6105100000000006</v>
      </c>
      <c r="E46" s="68">
        <f>(1+$C$19)^(-E11)</f>
        <v>1.4641000000000004</v>
      </c>
      <c r="F46" s="68">
        <f>(1+$C$19)^(-F11)</f>
        <v>1.3310000000000004</v>
      </c>
      <c r="G46" s="68">
        <f>(1+$C$19)^(-G11)</f>
        <v>1.2100000000000002</v>
      </c>
      <c r="H46" s="68">
        <f>(1+$C$19)^(-H11)</f>
        <v>1.1000000000000001</v>
      </c>
      <c r="I46" s="1"/>
      <c r="K46" s="9">
        <f>K19+1</f>
        <v>20</v>
      </c>
    </row>
    <row r="47" spans="1:11" ht="15.75" x14ac:dyDescent="0.25">
      <c r="A47" s="48" t="s">
        <v>36</v>
      </c>
      <c r="C47" s="1"/>
      <c r="D47" s="1">
        <f>D26*D46</f>
        <v>-17.819450729384634</v>
      </c>
      <c r="E47" s="1">
        <f>E26*E46</f>
        <v>75.962911880476966</v>
      </c>
      <c r="F47" s="1">
        <f>F26*F46</f>
        <v>-40.036184438140019</v>
      </c>
      <c r="G47" s="1">
        <f>G26*G46</f>
        <v>-45.991302014504015</v>
      </c>
      <c r="H47" s="1">
        <f>H26*H46</f>
        <v>95.984852139187225</v>
      </c>
      <c r="I47" s="1"/>
      <c r="K47" s="9">
        <f>K46+1</f>
        <v>21</v>
      </c>
    </row>
    <row r="48" spans="1:11" ht="15.75" x14ac:dyDescent="0.25">
      <c r="A48" s="48" t="s">
        <v>37</v>
      </c>
      <c r="C48" s="1"/>
      <c r="D48" s="1">
        <f>D47-D26</f>
        <v>-6.7549738063077029</v>
      </c>
      <c r="E48" s="1">
        <f>E47-E26</f>
        <v>24.079220957400032</v>
      </c>
      <c r="F48" s="1">
        <f>F47-F26</f>
        <v>-9.9564064981400122</v>
      </c>
      <c r="G48" s="1">
        <f>G47-G26</f>
        <v>-7.981961506649462</v>
      </c>
      <c r="H48" s="1">
        <f>H47-H26</f>
        <v>8.7258956490170334</v>
      </c>
      <c r="I48" s="1"/>
      <c r="K48" s="9">
        <f>K47+1</f>
        <v>22</v>
      </c>
    </row>
    <row r="49" spans="1:11" ht="15" thickBot="1" x14ac:dyDescent="0.3">
      <c r="A49" s="56" t="s">
        <v>35</v>
      </c>
      <c r="B49" s="6"/>
      <c r="C49" s="13"/>
      <c r="D49" s="13"/>
      <c r="E49" s="13"/>
      <c r="F49" s="13"/>
      <c r="G49" s="13"/>
      <c r="H49" s="13"/>
      <c r="I49" s="13">
        <f>SUM(D48:H48)</f>
        <v>8.1117747953198887</v>
      </c>
      <c r="K49" s="9">
        <f>K48+1</f>
        <v>23</v>
      </c>
    </row>
    <row r="50" spans="1:11" ht="11.25" thickTop="1" x14ac:dyDescent="0.15">
      <c r="A50" s="64" t="s">
        <v>43</v>
      </c>
      <c r="B50" s="15"/>
      <c r="C50" s="16"/>
      <c r="D50" s="17"/>
      <c r="E50" s="17"/>
      <c r="F50" s="17"/>
      <c r="G50" s="17"/>
      <c r="H50" s="17"/>
      <c r="I50" s="17"/>
    </row>
    <row r="51" spans="1:11" ht="14.25" x14ac:dyDescent="0.25">
      <c r="A51" s="41" t="s">
        <v>34</v>
      </c>
      <c r="B51" s="5"/>
      <c r="C51" s="5"/>
      <c r="D51" s="5"/>
      <c r="E51" s="5"/>
      <c r="F51" s="5"/>
      <c r="G51" s="5"/>
      <c r="H51" s="5"/>
      <c r="I51" s="22">
        <f>I23+I49</f>
        <v>46.542735298185924</v>
      </c>
      <c r="K51" s="9">
        <f>K49+1</f>
        <v>24</v>
      </c>
    </row>
    <row r="52" spans="1:11" ht="14.25" x14ac:dyDescent="0.25">
      <c r="A52" s="41" t="s">
        <v>26</v>
      </c>
      <c r="B52" s="5"/>
      <c r="C52" s="22">
        <f>C21</f>
        <v>57.5</v>
      </c>
      <c r="D52" s="22"/>
      <c r="E52" s="22"/>
      <c r="F52" s="22"/>
      <c r="G52" s="22"/>
      <c r="H52" s="22"/>
      <c r="I52" s="1"/>
      <c r="K52" s="9">
        <f>K51+1</f>
        <v>25</v>
      </c>
    </row>
    <row r="53" spans="1:11" ht="14.25" x14ac:dyDescent="0.25">
      <c r="A53" s="42" t="s">
        <v>29</v>
      </c>
      <c r="B53" s="5"/>
      <c r="D53" s="35"/>
      <c r="E53" s="35"/>
      <c r="F53" s="35"/>
      <c r="G53" s="35"/>
      <c r="H53" s="35"/>
      <c r="I53" s="35">
        <f>I51/C52</f>
        <v>0.80943887475105958</v>
      </c>
      <c r="K53" s="9">
        <f>K52+1</f>
        <v>26</v>
      </c>
    </row>
    <row r="54" spans="1:11" ht="15" x14ac:dyDescent="0.2">
      <c r="A54" s="63" t="s">
        <v>27</v>
      </c>
      <c r="B54" s="28"/>
      <c r="C54" s="2"/>
      <c r="D54" s="36"/>
      <c r="E54" s="36"/>
      <c r="F54" s="36"/>
      <c r="G54" s="36"/>
      <c r="H54" s="36"/>
      <c r="I54" s="29">
        <f>(1+I53)^(1/(-C11))-1</f>
        <v>0.10388539163799182</v>
      </c>
      <c r="K54" s="9">
        <f>K53+1</f>
        <v>27</v>
      </c>
    </row>
    <row r="55" spans="1:11" outlineLevel="1" x14ac:dyDescent="0.15">
      <c r="A55" s="23" t="s">
        <v>2</v>
      </c>
      <c r="B55" s="5"/>
      <c r="C55" s="27"/>
      <c r="D55" s="5"/>
      <c r="E55" s="5"/>
      <c r="F55" s="5"/>
      <c r="G55" s="5"/>
      <c r="H55" s="5"/>
      <c r="I55" s="22"/>
    </row>
    <row r="56" spans="1:11" ht="14.25" outlineLevel="1" x14ac:dyDescent="0.25">
      <c r="A56" s="50" t="s">
        <v>42</v>
      </c>
      <c r="B56" s="2"/>
      <c r="C56" s="26"/>
      <c r="D56" s="2"/>
      <c r="E56" s="2"/>
      <c r="F56" s="2"/>
      <c r="G56" s="2"/>
      <c r="H56" s="2"/>
      <c r="I56" s="7">
        <f>C52+I51</f>
        <v>104.04273529818593</v>
      </c>
      <c r="K56" s="9">
        <f>K54+1</f>
        <v>28</v>
      </c>
    </row>
    <row r="57" spans="1:11" ht="14.25" outlineLevel="1" x14ac:dyDescent="0.25">
      <c r="A57" s="57" t="s">
        <v>28</v>
      </c>
      <c r="B57" s="11"/>
      <c r="C57" s="12"/>
      <c r="D57" s="12"/>
      <c r="E57" s="12"/>
      <c r="F57" s="12"/>
      <c r="G57" s="12"/>
      <c r="H57" s="12"/>
      <c r="I57" s="12">
        <f>I27+I49</f>
        <v>69.576180260585929</v>
      </c>
      <c r="K57" s="9">
        <f>K56+1</f>
        <v>29</v>
      </c>
    </row>
    <row r="58" spans="1:11" ht="14.25" outlineLevel="1" x14ac:dyDescent="0.25">
      <c r="A58" s="50" t="s">
        <v>33</v>
      </c>
      <c r="B58" s="2"/>
      <c r="C58" s="26"/>
      <c r="D58" s="2"/>
      <c r="E58" s="2"/>
      <c r="F58" s="2"/>
      <c r="G58" s="2"/>
      <c r="H58" s="2"/>
      <c r="I58" s="7">
        <f>I13+I57</f>
        <v>77.068909616585927</v>
      </c>
      <c r="K58" s="9">
        <f>K57+1</f>
        <v>30</v>
      </c>
    </row>
    <row r="59" spans="1:11" ht="16.5" outlineLevel="1" thickBot="1" x14ac:dyDescent="0.3">
      <c r="A59" s="67" t="s">
        <v>30</v>
      </c>
      <c r="B59" s="6"/>
      <c r="C59" s="8"/>
      <c r="D59" s="6"/>
      <c r="E59" s="6"/>
      <c r="F59" s="6"/>
      <c r="G59" s="6"/>
      <c r="H59" s="6"/>
      <c r="I59" s="40">
        <f>(I56/C52)^(1/(-C11))-1</f>
        <v>0.10388539163799182</v>
      </c>
      <c r="K59" s="9">
        <f>K58+1</f>
        <v>31</v>
      </c>
    </row>
    <row r="60" spans="1:11" ht="11.25" thickTop="1" x14ac:dyDescent="0.15">
      <c r="A60" s="14" t="s">
        <v>15</v>
      </c>
      <c r="B60" s="14"/>
      <c r="C60" s="14"/>
      <c r="D60" s="14"/>
      <c r="E60" s="14"/>
      <c r="F60" s="14"/>
      <c r="G60" s="14"/>
      <c r="H60" s="14"/>
      <c r="I60" s="14"/>
    </row>
    <row r="61" spans="1:11" x14ac:dyDescent="0.15">
      <c r="A61" s="48" t="s">
        <v>17</v>
      </c>
      <c r="D61" s="59">
        <f t="shared" ref="D61:I61" si="11">D24/D15</f>
        <v>7.1586000000000011E-2</v>
      </c>
      <c r="E61" s="59">
        <f t="shared" si="11"/>
        <v>8.1952000000000011E-2</v>
      </c>
      <c r="F61" s="59">
        <f t="shared" si="11"/>
        <v>1.0793000000000001E-2</v>
      </c>
      <c r="G61" s="59">
        <f t="shared" si="11"/>
        <v>6.1585999999999995E-2</v>
      </c>
      <c r="H61" s="59">
        <f t="shared" si="11"/>
        <v>9.2595272727272721E-2</v>
      </c>
      <c r="I61" s="59">
        <f t="shared" si="11"/>
        <v>3.0731999999999995E-2</v>
      </c>
      <c r="K61" s="9">
        <f>K15+1</f>
        <v>33</v>
      </c>
    </row>
    <row r="62" spans="1:11" x14ac:dyDescent="0.15">
      <c r="A62" s="50" t="s">
        <v>18</v>
      </c>
      <c r="B62" s="2"/>
      <c r="C62" s="2"/>
      <c r="D62" s="26"/>
      <c r="E62" s="26"/>
      <c r="F62" s="26"/>
      <c r="G62" s="26"/>
      <c r="H62" s="26"/>
      <c r="I62" s="26">
        <f>I23/SUM(D15:I15)</f>
        <v>5.7484322502241614E-2</v>
      </c>
      <c r="K62" s="9">
        <f>K61+1</f>
        <v>34</v>
      </c>
    </row>
    <row r="63" spans="1:11" x14ac:dyDescent="0.15">
      <c r="A63" s="60" t="s">
        <v>16</v>
      </c>
      <c r="B63" s="60"/>
      <c r="C63" s="60"/>
      <c r="D63" s="61">
        <f t="shared" ref="D63:I63" si="12">D21/D15</f>
        <v>0.75723076923076926</v>
      </c>
      <c r="E63" s="61">
        <f t="shared" si="12"/>
        <v>0.30474999999999997</v>
      </c>
      <c r="F63" s="61">
        <f t="shared" si="12"/>
        <v>0.5635</v>
      </c>
      <c r="G63" s="61">
        <f t="shared" si="12"/>
        <v>0.97854545454545461</v>
      </c>
      <c r="H63" s="61">
        <f t="shared" si="12"/>
        <v>0.27865384615384614</v>
      </c>
      <c r="I63" s="61">
        <f t="shared" si="12"/>
        <v>0.28396153846153838</v>
      </c>
      <c r="K63" s="9">
        <f>K62+1</f>
        <v>35</v>
      </c>
    </row>
    <row r="64" spans="1:11" x14ac:dyDescent="0.15">
      <c r="A64" t="s">
        <v>21</v>
      </c>
      <c r="I64" s="59">
        <f>(I15/D15)^(1/(-D11))-1</f>
        <v>3.9507606054177469E-2</v>
      </c>
      <c r="K64" s="9">
        <f>K63+1</f>
        <v>36</v>
      </c>
    </row>
    <row r="65" spans="1:11" x14ac:dyDescent="0.15">
      <c r="A65" t="s">
        <v>20</v>
      </c>
      <c r="I65" s="59">
        <f>(I21/D21)^(1/(-D11))-1</f>
        <v>-0.14565373537568727</v>
      </c>
      <c r="K65" s="9">
        <f>K64+1</f>
        <v>37</v>
      </c>
    </row>
    <row r="66" spans="1:11" ht="11.25" thickBot="1" x14ac:dyDescent="0.2">
      <c r="A66" s="6" t="s">
        <v>19</v>
      </c>
      <c r="B66" s="6"/>
      <c r="C66" s="6"/>
      <c r="D66" s="6"/>
      <c r="E66" s="6"/>
      <c r="F66" s="6"/>
      <c r="G66" s="6"/>
      <c r="H66" s="6"/>
      <c r="I66" s="62">
        <f>I64/I65</f>
        <v>-0.27124334265973199</v>
      </c>
      <c r="K66" s="69">
        <f>K65+1</f>
        <v>38</v>
      </c>
    </row>
    <row r="67" spans="1:11" ht="11.25" thickTop="1" x14ac:dyDescent="0.15"/>
  </sheetData>
  <phoneticPr fontId="0" type="noConversion"/>
  <hyperlinks>
    <hyperlink ref="K11" location="Step_1" display="Click here"/>
    <hyperlink ref="K12" location="Step_2" display="Step_2"/>
    <hyperlink ref="K13" location="Step_3" display="Step_3"/>
    <hyperlink ref="K14" location="Step_4" display="Step_4"/>
    <hyperlink ref="K15" location="Step_33" display="Step_33"/>
    <hyperlink ref="K16" location="Step_6" display="Step_6"/>
    <hyperlink ref="K17" location="Step_7" display="Step_7"/>
    <hyperlink ref="K18" location="Step_8" display="Step_8"/>
    <hyperlink ref="K19" location="Step_20" display="Step_20"/>
    <hyperlink ref="K21" location="Step_5" display="Step_5"/>
    <hyperlink ref="K22" location="Step_9" display="Step_9"/>
    <hyperlink ref="K23" location="Step_10" display="Step_10"/>
    <hyperlink ref="K24" location="Step_11" display="Step_11"/>
    <hyperlink ref="K25" location="Step_12" display="Step_12"/>
    <hyperlink ref="K26" location="Step_13" display="Step_13"/>
    <hyperlink ref="K27" location="Step_14" display="Step_14"/>
    <hyperlink ref="K29" location="Step_15" display="Step_15"/>
    <hyperlink ref="K30" location="Step_16" display="Step_16"/>
    <hyperlink ref="K31" location="Step_17" display="Step_17"/>
    <hyperlink ref="K32" location="Step_18" display="Step_18"/>
    <hyperlink ref="K33" location="Step_19" display="Step_19"/>
    <hyperlink ref="K46" location="Step_21" display="Step_21"/>
    <hyperlink ref="K47" location="Step_22" display="Step_22"/>
    <hyperlink ref="K48" location="Step_23" display="Step_23"/>
    <hyperlink ref="K49" location="Step_24" display="Step_24"/>
    <hyperlink ref="K51" location="Step_25" display="Step_25"/>
    <hyperlink ref="K52" location="Step_26" display="Step_26"/>
    <hyperlink ref="K53" location="Step_27" display="Step_27"/>
    <hyperlink ref="K54" location="Step_28" display="Step_28"/>
    <hyperlink ref="K56" location="Step_29" display="Step_29"/>
    <hyperlink ref="K57" location="Step_30" display="Step_30"/>
    <hyperlink ref="K58" location="Step_31" display="Step_31"/>
    <hyperlink ref="K59" location="Step_32" display="Step_32"/>
    <hyperlink ref="K61" location="Step_34" display="Step_34"/>
    <hyperlink ref="K62" location="Step_35" display="Step_35"/>
    <hyperlink ref="K63" location="Step_36" display="Step_36"/>
    <hyperlink ref="K64" location="Step_37" display="Step_37"/>
    <hyperlink ref="K65" location="Step_38" display="Step_38"/>
  </hyperlinks>
  <printOptions gridLines="1"/>
  <pageMargins left="0.75" right="0.75" top="1" bottom="1" header="0.5" footer="0.5"/>
  <pageSetup orientation="landscape" r:id="rId1"/>
  <headerFooter alignWithMargins="0">
    <oddHeader>&amp;L&amp;8&amp;A</oddHeader>
    <oddFooter>&amp;L&amp;8© Dan Gode and James Ohlson. All rights reserved. &amp;D&amp;R&amp;8&amp;P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38</vt:i4>
      </vt:variant>
    </vt:vector>
  </HeadingPairs>
  <TitlesOfParts>
    <vt:vector size="39" baseType="lpstr">
      <vt:lpstr>LongRunROIC</vt:lpstr>
      <vt:lpstr>Step_1</vt:lpstr>
      <vt:lpstr>Step_10</vt:lpstr>
      <vt:lpstr>Step_11</vt:lpstr>
      <vt:lpstr>Step_12</vt:lpstr>
      <vt:lpstr>Step_13</vt:lpstr>
      <vt:lpstr>Step_14</vt:lpstr>
      <vt:lpstr>Step_15</vt:lpstr>
      <vt:lpstr>Step_16</vt:lpstr>
      <vt:lpstr>Step_17</vt:lpstr>
      <vt:lpstr>Step_18</vt:lpstr>
      <vt:lpstr>Step_19</vt:lpstr>
      <vt:lpstr>Step_2</vt:lpstr>
      <vt:lpstr>Step_20</vt:lpstr>
      <vt:lpstr>Step_21</vt:lpstr>
      <vt:lpstr>Step_22</vt:lpstr>
      <vt:lpstr>Step_23</vt:lpstr>
      <vt:lpstr>Step_24</vt:lpstr>
      <vt:lpstr>Step_25</vt:lpstr>
      <vt:lpstr>Step_26</vt:lpstr>
      <vt:lpstr>Step_27</vt:lpstr>
      <vt:lpstr>Step_28</vt:lpstr>
      <vt:lpstr>Step_29</vt:lpstr>
      <vt:lpstr>Step_3</vt:lpstr>
      <vt:lpstr>Step_30</vt:lpstr>
      <vt:lpstr>Step_31</vt:lpstr>
      <vt:lpstr>Step_32</vt:lpstr>
      <vt:lpstr>Step_33</vt:lpstr>
      <vt:lpstr>Step_34</vt:lpstr>
      <vt:lpstr>Step_35</vt:lpstr>
      <vt:lpstr>Step_36</vt:lpstr>
      <vt:lpstr>Step_37</vt:lpstr>
      <vt:lpstr>Step_38</vt:lpstr>
      <vt:lpstr>Step_4</vt:lpstr>
      <vt:lpstr>Step_5</vt:lpstr>
      <vt:lpstr>Step_6</vt:lpstr>
      <vt:lpstr>Step_7</vt:lpstr>
      <vt:lpstr>Step_8</vt:lpstr>
      <vt:lpstr>Step_9</vt:lpstr>
    </vt:vector>
  </TitlesOfParts>
  <Manager>http://www.dangode.com</Manager>
  <Company>http://www.godeohlson.com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Multiperiod Return on  Equity and IRR</dc:title>
  <dc:subject>Financial Statement Analysis and Valuation</dc:subject>
  <dc:creator>Dan Gode and James Ohlson</dc:creator>
  <cp:lastModifiedBy>Dan Gode</cp:lastModifiedBy>
  <cp:lastPrinted>2010-10-06T20:00:03Z</cp:lastPrinted>
  <dcterms:created xsi:type="dcterms:W3CDTF">2010-04-23T22:09:04Z</dcterms:created>
  <dcterms:modified xsi:type="dcterms:W3CDTF">2016-09-05T18:18:46Z</dcterms:modified>
</cp:coreProperties>
</file>