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gode\Documents\0Almaris\godeohlson-web\files\"/>
    </mc:Choice>
  </mc:AlternateContent>
  <bookViews>
    <workbookView xWindow="525" yWindow="15" windowWidth="12315" windowHeight="9240" tabRatio="364"/>
  </bookViews>
  <sheets>
    <sheet name="EnterpriseVsFinancial" sheetId="1" r:id="rId1"/>
    <sheet name="Conservatism" sheetId="2" r:id="rId2"/>
  </sheets>
  <definedNames>
    <definedName name="Step_1">EnterpriseVsFinancial!$F$16</definedName>
    <definedName name="Step_10">EnterpriseVsFinancial!$F$31</definedName>
    <definedName name="Step_11">EnterpriseVsFinancial!$F$32</definedName>
    <definedName name="Step_12">EnterpriseVsFinancial!$F$22</definedName>
    <definedName name="Step_13">EnterpriseVsFinancial!$F$38</definedName>
    <definedName name="Step_14">EnterpriseVsFinancial!$F$21</definedName>
    <definedName name="Step_15">EnterpriseVsFinancial!$F$39</definedName>
    <definedName name="Step_16">EnterpriseVsFinancial!$F$19</definedName>
    <definedName name="Step_17">EnterpriseVsFinancial!$F$40</definedName>
    <definedName name="Step_18">EnterpriseVsFinancial!$F$41</definedName>
    <definedName name="Step_19">EnterpriseVsFinancial!$F$42</definedName>
    <definedName name="Step_2">EnterpriseVsFinancial!$F$26</definedName>
    <definedName name="Step_20">EnterpriseVsFinancial!$F$20</definedName>
    <definedName name="Step_21">EnterpriseVsFinancial!$F$45</definedName>
    <definedName name="Step_22">EnterpriseVsFinancial!$F$46</definedName>
    <definedName name="Step_23">EnterpriseVsFinancial!$F$47</definedName>
    <definedName name="Step_24">EnterpriseVsFinancial!$F$48</definedName>
    <definedName name="Step_25">EnterpriseVsFinancial!$F$49</definedName>
    <definedName name="Step_26">EnterpriseVsFinancial!$F$50</definedName>
    <definedName name="Step_27">EnterpriseVsFinancial!$F$51</definedName>
    <definedName name="Step_28">EnterpriseVsFinancial!$F$52</definedName>
    <definedName name="Step_29">EnterpriseVsFinancial!$F$56</definedName>
    <definedName name="Step_3">EnterpriseVsFinancial!$F$15</definedName>
    <definedName name="Step_30">EnterpriseVsFinancial!$F$57</definedName>
    <definedName name="Step_31">EnterpriseVsFinancial!$F$58</definedName>
    <definedName name="Step_32">EnterpriseVsFinancial!$F$61</definedName>
    <definedName name="Step_33">EnterpriseVsFinancial!$F$62</definedName>
    <definedName name="Step_34">EnterpriseVsFinancial!$F$63</definedName>
    <definedName name="Step_35">EnterpriseVsFinancial!$F$64</definedName>
    <definedName name="Step_36">EnterpriseVsFinancial!$F$65</definedName>
    <definedName name="Step_37">EnterpriseVsFinancial!$F$70</definedName>
    <definedName name="Step_38">EnterpriseVsFinancial!$F$71</definedName>
    <definedName name="Step_39">EnterpriseVsFinancial!$F$73</definedName>
    <definedName name="Step_4">EnterpriseVsFinancial!$F$27</definedName>
    <definedName name="Step_40">EnterpriseVsFinancial!$F$13</definedName>
    <definedName name="Step_41">EnterpriseVsFinancial!$F$74</definedName>
    <definedName name="Step_42">EnterpriseVsFinancial!$F$75</definedName>
    <definedName name="Step_43">EnterpriseVsFinancial!$F$76</definedName>
    <definedName name="Step_44">EnterpriseVsFinancial!$F$77</definedName>
    <definedName name="Step_45">EnterpriseVsFinancial!$F$78</definedName>
    <definedName name="Step_46">EnterpriseVsFinancial!$F$84</definedName>
    <definedName name="Step_47">EnterpriseVsFinancial!$F$85</definedName>
    <definedName name="Step_48">EnterpriseVsFinancial!$F$86</definedName>
    <definedName name="Step_49">EnterpriseVsFinancial!$F$87</definedName>
    <definedName name="Step_5">EnterpriseVsFinancial!$F$14</definedName>
    <definedName name="Step_50">EnterpriseVsFinancial!$F$88</definedName>
    <definedName name="Step_51">EnterpriseVsFinancial!$F$93</definedName>
    <definedName name="Step_52">EnterpriseVsFinancial!$F$94</definedName>
    <definedName name="Step_53">EnterpriseVsFinancial!$F$95</definedName>
    <definedName name="Step_54">EnterpriseVsFinancial!$F$96</definedName>
    <definedName name="Step_55">EnterpriseVsFinancial!$F$97</definedName>
    <definedName name="Step_56">EnterpriseVsFinancial!$F$98</definedName>
    <definedName name="Step_57">EnterpriseVsFinancial!$F$100</definedName>
    <definedName name="Step_58">EnterpriseVsFinancial!$F$101</definedName>
    <definedName name="Step_59">EnterpriseVsFinancial!$F$102</definedName>
    <definedName name="Step_6">EnterpriseVsFinancial!$F$28</definedName>
    <definedName name="Step_60">EnterpriseVsFinancial!$F$103</definedName>
    <definedName name="Step_61">EnterpriseVsFinancial!$F$104</definedName>
    <definedName name="Step_62">EnterpriseVsFinancial!$F$105</definedName>
    <definedName name="Step_63">EnterpriseVsFinancial!$F$106</definedName>
    <definedName name="Step_7">EnterpriseVsFinancial!$F$29</definedName>
    <definedName name="Step_8">EnterpriseVsFinancial!$F$17</definedName>
    <definedName name="Step_9">EnterpriseVsFinancial!$F$30</definedName>
  </definedNames>
  <calcPr calcId="162913" iterate="1"/>
</workbook>
</file>

<file path=xl/calcChain.xml><?xml version="1.0" encoding="utf-8"?>
<calcChain xmlns="http://schemas.openxmlformats.org/spreadsheetml/2006/main">
  <c r="D13" i="1" l="1"/>
  <c r="D16" i="1"/>
  <c r="D118" i="1" s="1"/>
  <c r="D110" i="1"/>
  <c r="D117" i="1" s="1"/>
  <c r="D36" i="1"/>
  <c r="D72" i="1" s="1"/>
  <c r="F26" i="1"/>
  <c r="F15" i="1"/>
  <c r="F27" i="1" s="1"/>
  <c r="F14" i="1" s="1"/>
  <c r="F28" i="1" s="1"/>
  <c r="F29" i="1" s="1"/>
  <c r="F17" i="1" s="1"/>
  <c r="F30" i="1" s="1"/>
  <c r="F31" i="1" s="1"/>
  <c r="F32" i="1" s="1"/>
  <c r="F22" i="1" s="1"/>
  <c r="F38" i="1" s="1"/>
  <c r="F21" i="1" s="1"/>
  <c r="F39" i="1" s="1"/>
  <c r="F19" i="1" s="1"/>
  <c r="F40" i="1" s="1"/>
  <c r="F41" i="1" s="1"/>
  <c r="F42" i="1" s="1"/>
  <c r="F20" i="1" s="1"/>
  <c r="F45" i="1" s="1"/>
  <c r="F46" i="1" s="1"/>
  <c r="F47" i="1" s="1"/>
  <c r="F48" i="1" s="1"/>
  <c r="F49" i="1" s="1"/>
  <c r="F50" i="1" s="1"/>
  <c r="F51" i="1" s="1"/>
  <c r="F52" i="1" s="1"/>
  <c r="F56" i="1" s="1"/>
  <c r="F57" i="1" s="1"/>
  <c r="F58" i="1" s="1"/>
  <c r="F61" i="1" s="1"/>
  <c r="F62" i="1" s="1"/>
  <c r="F63" i="1" s="1"/>
  <c r="F64" i="1" s="1"/>
  <c r="F65" i="1" s="1"/>
  <c r="F70" i="1" s="1"/>
  <c r="F71" i="1" s="1"/>
  <c r="F73" i="1" s="1"/>
  <c r="F13" i="1" s="1"/>
  <c r="F74" i="1" s="1"/>
  <c r="F75" i="1" s="1"/>
  <c r="F76" i="1" s="1"/>
  <c r="F77" i="1" s="1"/>
  <c r="F78" i="1" s="1"/>
  <c r="F84" i="1" s="1"/>
  <c r="F85" i="1" s="1"/>
  <c r="F86" i="1" s="1"/>
  <c r="F87" i="1" s="1"/>
  <c r="F88" i="1" s="1"/>
  <c r="F93" i="1" s="1"/>
  <c r="F94" i="1" s="1"/>
  <c r="F95" i="1" s="1"/>
  <c r="F96" i="1" s="1"/>
  <c r="F97" i="1" s="1"/>
  <c r="F98" i="1" s="1"/>
  <c r="F100" i="1" s="1"/>
  <c r="F101" i="1" s="1"/>
  <c r="F102" i="1" s="1"/>
  <c r="F103" i="1" s="1"/>
  <c r="F104" i="1" s="1"/>
  <c r="F105" i="1" s="1"/>
  <c r="F106" i="1" s="1"/>
  <c r="D70" i="1"/>
  <c r="E7" i="2"/>
  <c r="F7" i="2" s="1"/>
  <c r="G7" i="2" s="1"/>
  <c r="H7" i="2" s="1"/>
  <c r="I7" i="2" s="1"/>
  <c r="D8" i="2"/>
  <c r="D13" i="2"/>
  <c r="E13" i="2" s="1"/>
  <c r="F13" i="2" s="1"/>
  <c r="G13" i="2" s="1"/>
  <c r="H13" i="2" s="1"/>
  <c r="I13" i="2" s="1"/>
  <c r="C14" i="2"/>
  <c r="C20" i="2"/>
  <c r="C21" i="2" s="1"/>
  <c r="C22" i="2" s="1"/>
  <c r="C23" i="2" s="1"/>
  <c r="C24" i="2" s="1"/>
  <c r="C25" i="2" s="1"/>
  <c r="C26" i="2" s="1"/>
  <c r="C27" i="2" s="1"/>
  <c r="C28" i="2" s="1"/>
  <c r="C29" i="2" s="1"/>
  <c r="C30" i="2" s="1"/>
  <c r="C31" i="2" s="1"/>
  <c r="C32" i="2" s="1"/>
  <c r="C11" i="2"/>
  <c r="C15" i="2" s="1"/>
  <c r="D10" i="2"/>
  <c r="D11" i="2" s="1"/>
  <c r="E9" i="2"/>
  <c r="E10" i="2" s="1"/>
  <c r="D149" i="1"/>
  <c r="D74" i="1"/>
  <c r="D55" i="1"/>
  <c r="A46" i="1"/>
  <c r="C36" i="1"/>
  <c r="C175" i="1" s="1"/>
  <c r="E8" i="2" l="1"/>
  <c r="E11" i="2" s="1"/>
  <c r="D19" i="2"/>
  <c r="D15" i="2"/>
  <c r="D16" i="2" s="1"/>
  <c r="E19" i="2" s="1"/>
  <c r="D119" i="1"/>
  <c r="D134" i="1"/>
  <c r="D147" i="1" s="1"/>
  <c r="D156" i="1" s="1"/>
  <c r="D165" i="1" s="1"/>
  <c r="D83" i="1"/>
  <c r="D92" i="1" s="1"/>
  <c r="D99" i="1" s="1"/>
  <c r="D109" i="1" s="1"/>
  <c r="D115" i="1" s="1"/>
  <c r="D124" i="1" s="1"/>
  <c r="F8" i="2"/>
  <c r="D175" i="1"/>
  <c r="D14" i="2"/>
  <c r="F9" i="2"/>
  <c r="C22" i="1"/>
  <c r="D26" i="1"/>
  <c r="E14" i="2"/>
  <c r="E15" i="2" l="1"/>
  <c r="E16" i="2" s="1"/>
  <c r="G8" i="2"/>
  <c r="F14" i="2"/>
  <c r="C177" i="1"/>
  <c r="D22" i="1"/>
  <c r="C21" i="1"/>
  <c r="C38" i="1"/>
  <c r="G9" i="2"/>
  <c r="F10" i="2"/>
  <c r="F11" i="2" s="1"/>
  <c r="D177" i="1" l="1"/>
  <c r="D38" i="1"/>
  <c r="D21" i="1"/>
  <c r="C39" i="1"/>
  <c r="C20" i="1"/>
  <c r="C45" i="1" s="1"/>
  <c r="C19" i="1"/>
  <c r="D15" i="1"/>
  <c r="D101" i="1"/>
  <c r="H8" i="2"/>
  <c r="G14" i="2"/>
  <c r="D166" i="1"/>
  <c r="F15" i="2"/>
  <c r="F16" i="2" s="1"/>
  <c r="H9" i="2"/>
  <c r="G10" i="2"/>
  <c r="G11" i="2" s="1"/>
  <c r="G15" i="2" s="1"/>
  <c r="G16" i="2" s="1"/>
  <c r="D93" i="1"/>
  <c r="I9" i="2" l="1"/>
  <c r="I10" i="2" s="1"/>
  <c r="H10" i="2"/>
  <c r="H11" i="2" s="1"/>
  <c r="D14" i="1"/>
  <c r="D111" i="1"/>
  <c r="C40" i="1"/>
  <c r="C46" i="1" s="1"/>
  <c r="D104" i="1"/>
  <c r="C47" i="1"/>
  <c r="C48" i="1"/>
  <c r="C50" i="1" s="1"/>
  <c r="D100" i="1"/>
  <c r="D27" i="1"/>
  <c r="D20" i="1"/>
  <c r="D45" i="1" s="1"/>
  <c r="D39" i="1"/>
  <c r="D19" i="1"/>
  <c r="D40" i="1" s="1"/>
  <c r="D46" i="1" s="1"/>
  <c r="C49" i="1"/>
  <c r="C41" i="1"/>
  <c r="D63" i="1"/>
  <c r="D142" i="1"/>
  <c r="H14" i="2"/>
  <c r="I8" i="2"/>
  <c r="I14" i="2" s="1"/>
  <c r="D96" i="1" l="1"/>
  <c r="C176" i="1"/>
  <c r="C178" i="1" s="1"/>
  <c r="D169" i="1"/>
  <c r="C42" i="1"/>
  <c r="C51" i="1"/>
  <c r="D41" i="1"/>
  <c r="D49" i="1"/>
  <c r="D112" i="1"/>
  <c r="D116" i="1" s="1"/>
  <c r="D47" i="1"/>
  <c r="D48" i="1"/>
  <c r="D28" i="1"/>
  <c r="D103" i="1"/>
  <c r="D29" i="1"/>
  <c r="H15" i="2"/>
  <c r="H16" i="2" s="1"/>
  <c r="I11" i="2"/>
  <c r="I15" i="2" s="1"/>
  <c r="I16" i="2" s="1"/>
  <c r="D129" i="1" l="1"/>
  <c r="D120" i="1"/>
  <c r="D121" i="1" s="1"/>
  <c r="D126" i="1" s="1"/>
  <c r="D151" i="1"/>
  <c r="C52" i="1"/>
  <c r="D76" i="1"/>
  <c r="D62" i="1"/>
  <c r="D141" i="1" s="1"/>
  <c r="D176" i="1"/>
  <c r="D178" i="1" s="1"/>
  <c r="D42" i="1"/>
  <c r="D50" i="1"/>
  <c r="D30" i="1"/>
  <c r="D31" i="1"/>
  <c r="D51" i="1"/>
  <c r="D71" i="1" l="1"/>
  <c r="D86" i="1" s="1"/>
  <c r="D52" i="1"/>
  <c r="D57" i="1"/>
  <c r="D136" i="1" s="1"/>
  <c r="D94" i="1"/>
  <c r="D128" i="1"/>
  <c r="D130" i="1" s="1"/>
  <c r="D61" i="1"/>
  <c r="D64" i="1" s="1"/>
  <c r="D32" i="1"/>
  <c r="D159" i="1"/>
  <c r="D180" i="1"/>
  <c r="D75" i="1" l="1"/>
  <c r="D77" i="1" s="1"/>
  <c r="D73" i="1"/>
  <c r="D56" i="1"/>
  <c r="D58" i="1" s="1"/>
  <c r="D125" i="1"/>
  <c r="D127" i="1" s="1"/>
  <c r="D167" i="1"/>
  <c r="D140" i="1"/>
  <c r="D143" i="1" s="1"/>
  <c r="D65" i="1" l="1"/>
  <c r="D84" i="1"/>
  <c r="D135" i="1"/>
  <c r="D137" i="1" s="1"/>
  <c r="D150" i="1"/>
  <c r="D152" i="1" s="1"/>
  <c r="D131" i="1"/>
  <c r="D148" i="1"/>
  <c r="D105" i="1"/>
  <c r="D106" i="1" s="1"/>
  <c r="D85" i="1"/>
  <c r="D87" i="1" s="1"/>
  <c r="D88" i="1" s="1"/>
  <c r="D78" i="1"/>
  <c r="D102" i="1"/>
  <c r="D95" i="1"/>
  <c r="D97" i="1" s="1"/>
  <c r="D98" i="1" s="1"/>
  <c r="D168" i="1" l="1"/>
  <c r="D158" i="1"/>
  <c r="D160" i="1" s="1"/>
  <c r="D170" i="1"/>
  <c r="D171" i="1" s="1"/>
  <c r="D153" i="1"/>
  <c r="D179" i="1"/>
  <c r="D181" i="1" s="1"/>
  <c r="D144" i="1"/>
  <c r="D157" i="1"/>
  <c r="D161" i="1" l="1"/>
</calcChain>
</file>

<file path=xl/sharedStrings.xml><?xml version="1.0" encoding="utf-8"?>
<sst xmlns="http://schemas.openxmlformats.org/spreadsheetml/2006/main" count="166" uniqueCount="146">
  <si>
    <t>Enterprise cash flows: EPAT - Change in NEA</t>
  </si>
  <si>
    <t>Income statement: Enterprise profit after tax [EPAT]</t>
  </si>
  <si>
    <t>Check: Actual vs. computed ROE</t>
  </si>
  <si>
    <t>Check: Enterprise cash flows generated (needed) + Financial cash flows raised (distributed) = 0</t>
  </si>
  <si>
    <t>Effect of leverage on ROE</t>
  </si>
  <si>
    <t>Key metrics</t>
  </si>
  <si>
    <t>Enterprise cash flow: Drivers</t>
  </si>
  <si>
    <t>Enterprise performance: Margin and turnover</t>
  </si>
  <si>
    <t>Year-1</t>
  </si>
  <si>
    <t>Year 0</t>
  </si>
  <si>
    <t>Profit (loss) after tax [NI]</t>
  </si>
  <si>
    <t>Financial expense [FE, enter as positive]</t>
  </si>
  <si>
    <t>Financial income [FI, enter as positive]</t>
  </si>
  <si>
    <t>Tax rate on financial activities [tf]</t>
  </si>
  <si>
    <t>Also called :  prefinancing net income, unlevered net income, EBIAT, NOPAT</t>
  </si>
  <si>
    <t>Financial liabilities: Current and non-current [FL]</t>
  </si>
  <si>
    <t>Financial assets: Current and non-current [FA]</t>
  </si>
  <si>
    <t>= Net financial liabilities (assets): Current and non-current [NFL = FL - FA]</t>
  </si>
  <si>
    <t>Equity [EQ]</t>
  </si>
  <si>
    <t>Total assets [TA]</t>
  </si>
  <si>
    <t>= Enterprise assets: Current and non-current [EA = TA - FA]</t>
  </si>
  <si>
    <t>Total liabilities [TL]</t>
  </si>
  <si>
    <t>= Enterprise liabilities: Current and non-current [EL = TL - FL]</t>
  </si>
  <si>
    <t>Net enterprise assets = enterprise assets - enterprise liabilities [NEA = EA - EL]</t>
  </si>
  <si>
    <t>= Enterprise cash flows generated (needed) [ECF = EPAT - Change in NEA]</t>
  </si>
  <si>
    <t>increase (decrease) in net financial liabilities [Change in NFL]</t>
  </si>
  <si>
    <t>- Net financial expense (income) after tax [-NFEAT]</t>
  </si>
  <si>
    <t>Sales [S]</t>
  </si>
  <si>
    <t>Return on net enterprise assets, after tax:[RNEA or ROIC]</t>
  </si>
  <si>
    <t>Enterprise profit margin after tax = EPAT/Sales [m]</t>
  </si>
  <si>
    <t>Net enterprise asset turnover = Sales/Beginning NEA [1/a]</t>
  </si>
  <si>
    <t>= Net financial (income) expense after tax [NFEAT = NFE - TBF]</t>
  </si>
  <si>
    <t>Inputs</t>
  </si>
  <si>
    <t>Financial expense [FE]</t>
  </si>
  <si>
    <t>Income statement</t>
  </si>
  <si>
    <t>Balance sheet</t>
  </si>
  <si>
    <t>Less: Financial income [FI]</t>
  </si>
  <si>
    <t>Less: Financial assets: Current and non-current [FA]</t>
  </si>
  <si>
    <t>Less: Financial liabilities: Current and non-current [FL]</t>
  </si>
  <si>
    <t>= ROIC - g</t>
  </si>
  <si>
    <t xml:space="preserve">Enterprise cash flow yield on net enterprise assets: ECF/Beginning NEA </t>
  </si>
  <si>
    <t>Check: ECF yield on NEA - (ROIC -g) = 0</t>
  </si>
  <si>
    <t>Check: ROIC - m * 1/a = 0</t>
  </si>
  <si>
    <t>Enterprise profit after tax [EPAT]</t>
  </si>
  <si>
    <t>= Financial cash flows raised (distributed) [FinCF = -NFEAT + Change in NFL + NCONTR]</t>
  </si>
  <si>
    <t>Check: ECF + FinCF = 0</t>
  </si>
  <si>
    <t>Leverage: Beginning net financial liabilities/Beginning equity</t>
  </si>
  <si>
    <t>ROE = ROIC +Spread*Leverage</t>
  </si>
  <si>
    <t>ROIC = margin * turnover = m * 1/a</t>
  </si>
  <si>
    <t>Return on equity = Net income/Beginning equity [ROE]</t>
  </si>
  <si>
    <t>net contributions from (distributions to) shareholders [NCONTR = Change in EQ - NI]</t>
  </si>
  <si>
    <t>(increase) decrease in net enterprise assets [- Change in NEA]</t>
  </si>
  <si>
    <t>+ Enterprise other comprehensive income [EOCI]</t>
  </si>
  <si>
    <t>Enterprise and financial comprehensive income</t>
  </si>
  <si>
    <t>- Financial other comprehensive income [FOCI]</t>
  </si>
  <si>
    <t>Net financial expense after tax [NFEAT]</t>
  </si>
  <si>
    <t>= Comprehensive net financial expense after tax [CNFEAT = NFEAT - FOCI]</t>
  </si>
  <si>
    <t>Enterprise cash flows: Comprehensive EPAT - Change in NEA</t>
  </si>
  <si>
    <t>Comprehensive enterprise profit after tax [CEPAT]</t>
  </si>
  <si>
    <t>= Enterprise cash flows generated (needed) [ECF = CEPAT - Change in NEA]</t>
  </si>
  <si>
    <t>- Comprehensive net financial expense (income) after tax [-CNFEAT]</t>
  </si>
  <si>
    <t>net contributions from (distributions to) shareholders [NCONTR = Change in EQ - CI]</t>
  </si>
  <si>
    <t>Comprehensive enterprise profit margin after tax = Comprehensive EPAT/Sales [m]</t>
  </si>
  <si>
    <t>Spread: ROIC - Net financial expense rate, after tax</t>
  </si>
  <si>
    <t>Net financial expense rate, after tax = Net financial expense, after tax/Net financial liabilities [r = NFEAT/NFL]</t>
  </si>
  <si>
    <t>Comprehensive ROE = Comprehensive income/Beginning equity</t>
  </si>
  <si>
    <t>Comprehensive ROE = Comprehensive ROIC +Spread*Leverage</t>
  </si>
  <si>
    <t>Comprehensive ROIC, after tax</t>
  </si>
  <si>
    <t>= Comprehensive enterprise profit after tax [CEPAT = EPAT + EOCI]</t>
  </si>
  <si>
    <t>= Financial cash flows raised (distributed) [FinCF = -Comprehensive NFEAT + Change in NFL + NCONTR]</t>
  </si>
  <si>
    <t>Less: Financial other comprehensive income [FOCI]</t>
  </si>
  <si>
    <t>= Enterprise other comprehensive income [EOCI]</t>
  </si>
  <si>
    <t>Deriving enterprise other comprehensive income</t>
  </si>
  <si>
    <t>Comprehensive income</t>
  </si>
  <si>
    <t>Check: CI = NI + OCI = CEPAT - CNFEAT</t>
  </si>
  <si>
    <t>Comprehensive ROIC = Comprehensive margin * turnover = m * 1/a</t>
  </si>
  <si>
    <t>Comprehensive net financial expense rate, after tax = Comprehensive NFEAT/Net financial liabilities [r]</t>
  </si>
  <si>
    <t>Spread: Comprehensive ROIC - Comprehensive net financial expense rate, after tax</t>
  </si>
  <si>
    <t>= Comprehensive ROIC - g</t>
  </si>
  <si>
    <t>Financial liabilities/Equity [FL/EQ]</t>
  </si>
  <si>
    <t>Inputs: Comprehensive income</t>
  </si>
  <si>
    <t>Comprehensive income [CI]</t>
  </si>
  <si>
    <t>Financial OCI item: Unrealized gains (losses) on marketable securities, net of tax</t>
  </si>
  <si>
    <t>Financial OCI item: Gains (losses) on cash flow hedges, net of tax [Assumed to be all due to financial activities]</t>
  </si>
  <si>
    <t>Financial other comprehensive income [FOCI]</t>
  </si>
  <si>
    <t>Less: Net income</t>
  </si>
  <si>
    <t>= Other comprehensive income [OCI]</t>
  </si>
  <si>
    <t>Financial assets/Equity [FA/EQ]</t>
  </si>
  <si>
    <t>Click here</t>
  </si>
  <si>
    <t>Optional: Detailed derivation of the effect of leverage</t>
  </si>
  <si>
    <t>= Net financial expense (income) [NFE = FE - FI]</t>
  </si>
  <si>
    <t>Balance sheet: Net enterprise assets [NEA] = Invested capital [IC]</t>
  </si>
  <si>
    <t>Check: Net enterprise assets financed by invested capital</t>
  </si>
  <si>
    <t>Check: Net enterprise assets - Invested capital = 0</t>
  </si>
  <si>
    <t>Return on invested capital, after tax = EPAT/Beginning invested capital [ROIC]</t>
  </si>
  <si>
    <t>Comprehensive ROIC, after tax = Comprehensive EPAT/Beginning invested capital</t>
  </si>
  <si>
    <t>Invested capital</t>
  </si>
  <si>
    <t>Invested capital = equity + net financial liabilities [IC = EQ + NFL]</t>
  </si>
  <si>
    <r>
      <t>Less: Growth rate in net enterprise assets [g = NEA</t>
    </r>
    <r>
      <rPr>
        <vertAlign val="subscript"/>
        <sz val="10"/>
        <rFont val="Verdana"/>
        <family val="2"/>
      </rPr>
      <t>t</t>
    </r>
    <r>
      <rPr>
        <sz val="8"/>
        <rFont val="Verdana"/>
        <family val="2"/>
      </rPr>
      <t>/NEA</t>
    </r>
    <r>
      <rPr>
        <vertAlign val="subscript"/>
        <sz val="10"/>
        <rFont val="Verdana"/>
        <family val="2"/>
      </rPr>
      <t>t-1</t>
    </r>
    <r>
      <rPr>
        <sz val="8"/>
        <rFont val="Verdana"/>
        <family val="2"/>
      </rPr>
      <t xml:space="preserve"> - 1]</t>
    </r>
  </si>
  <si>
    <r>
      <t>Increase in ROE due to financial liabilities =  (ROIC - r</t>
    </r>
    <r>
      <rPr>
        <vertAlign val="subscript"/>
        <sz val="10"/>
        <rFont val="Verdana"/>
        <family val="2"/>
      </rPr>
      <t>d</t>
    </r>
    <r>
      <rPr>
        <sz val="8"/>
        <rFont val="Verdana"/>
        <family val="2"/>
      </rPr>
      <t xml:space="preserve">)*FL/EQ </t>
    </r>
  </si>
  <si>
    <r>
      <t>Financial expense rate [r</t>
    </r>
    <r>
      <rPr>
        <vertAlign val="subscript"/>
        <sz val="10"/>
        <rFont val="Verdana"/>
        <family val="2"/>
      </rPr>
      <t>d</t>
    </r>
    <r>
      <rPr>
        <sz val="8"/>
        <rFont val="Verdana"/>
        <family val="2"/>
      </rPr>
      <t>] = Financial expense, after tax/Financial liabilities</t>
    </r>
  </si>
  <si>
    <r>
      <t>Decrease in ROE due to financial assets =  -(ROIC - r</t>
    </r>
    <r>
      <rPr>
        <vertAlign val="subscript"/>
        <sz val="10"/>
        <rFont val="Verdana"/>
        <family val="2"/>
      </rPr>
      <t>c</t>
    </r>
    <r>
      <rPr>
        <sz val="8"/>
        <rFont val="Verdana"/>
        <family val="2"/>
      </rPr>
      <t xml:space="preserve">)*FA/EQ </t>
    </r>
  </si>
  <si>
    <r>
      <t>Financial income rate [r</t>
    </r>
    <r>
      <rPr>
        <vertAlign val="subscript"/>
        <sz val="10"/>
        <rFont val="Verdana"/>
        <family val="2"/>
      </rPr>
      <t>c</t>
    </r>
    <r>
      <rPr>
        <sz val="8"/>
        <rFont val="Verdana"/>
        <family val="2"/>
      </rPr>
      <t>] = Financial income, after tax/Financial assets</t>
    </r>
  </si>
  <si>
    <r>
      <t>ROE = ROIC +  (ROIC - r</t>
    </r>
    <r>
      <rPr>
        <vertAlign val="subscript"/>
        <sz val="10"/>
        <rFont val="Verdana"/>
        <family val="2"/>
      </rPr>
      <t>d</t>
    </r>
    <r>
      <rPr>
        <sz val="8"/>
        <rFont val="Verdana"/>
        <family val="2"/>
      </rPr>
      <t>)*FL/EQ -(ROIC - r</t>
    </r>
    <r>
      <rPr>
        <vertAlign val="subscript"/>
        <sz val="10"/>
        <rFont val="Verdana"/>
        <family val="2"/>
      </rPr>
      <t>c</t>
    </r>
    <r>
      <rPr>
        <sz val="8"/>
        <rFont val="Verdana"/>
        <family val="2"/>
      </rPr>
      <t xml:space="preserve">)*FA/EQ </t>
    </r>
  </si>
  <si>
    <t>Financial policy</t>
  </si>
  <si>
    <t>With Other Comprehensive Income [OCI] Adjustments</t>
  </si>
  <si>
    <t>Less: tax shield due to net financial expense [TBF = tf * NFE]</t>
  </si>
  <si>
    <t>Enterprise profit after tax = net income + net financial expense after tax [EPAT = NI + NFEAT]</t>
  </si>
  <si>
    <t>Unbiased accounting</t>
  </si>
  <si>
    <t>Y1</t>
  </si>
  <si>
    <t>Y0</t>
  </si>
  <si>
    <t>Y2</t>
  </si>
  <si>
    <t>Y3</t>
  </si>
  <si>
    <t>Y4</t>
  </si>
  <si>
    <t>Y5</t>
  </si>
  <si>
    <t>Y6</t>
  </si>
  <si>
    <t>Conservative accounting</t>
  </si>
  <si>
    <t>Biased ROIC</t>
  </si>
  <si>
    <t>Growth rate</t>
  </si>
  <si>
    <t>Cash flows</t>
  </si>
  <si>
    <t>Conservatism factor: Lower is more conservative</t>
  </si>
  <si>
    <t>Biased NEA = Conservatism factor*Unbiased NEA</t>
  </si>
  <si>
    <t>Biased EPAT = ECF + Change in biased NEA</t>
  </si>
  <si>
    <t>Biased ROIC = Biased EPAT/Biased NEA</t>
  </si>
  <si>
    <t>Growth rate in net enterprise assets [NEA]</t>
  </si>
  <si>
    <t>Net enterprise assets [NEA]</t>
  </si>
  <si>
    <t>Return on invested capital [ROIC]</t>
  </si>
  <si>
    <t>Enterprise profit after taxes [EPAT]</t>
  </si>
  <si>
    <t>Enterprise cash flows [ECF]</t>
  </si>
  <si>
    <t>Cash flows and ROIC at different growth rates</t>
  </si>
  <si>
    <t>Key metrics: Enterprise performance</t>
  </si>
  <si>
    <t>Margin and turnover</t>
  </si>
  <si>
    <t>Growth</t>
  </si>
  <si>
    <t>Growth rate of sales</t>
  </si>
  <si>
    <r>
      <t>Less: Growth rate of net enterprise assets [g = NEA</t>
    </r>
    <r>
      <rPr>
        <vertAlign val="subscript"/>
        <sz val="10"/>
        <rFont val="Verdana"/>
        <family val="2"/>
      </rPr>
      <t>t</t>
    </r>
    <r>
      <rPr>
        <sz val="8"/>
        <rFont val="Verdana"/>
        <family val="2"/>
      </rPr>
      <t>/NEA</t>
    </r>
    <r>
      <rPr>
        <vertAlign val="subscript"/>
        <sz val="10"/>
        <rFont val="Verdana"/>
        <family val="2"/>
      </rPr>
      <t>t-1</t>
    </r>
    <r>
      <rPr>
        <sz val="8"/>
        <rFont val="Verdana"/>
        <family val="2"/>
      </rPr>
      <t xml:space="preserve"> - 1]</t>
    </r>
  </si>
  <si>
    <r>
      <t>Growth rate of net enterprise assets [g = NEA</t>
    </r>
    <r>
      <rPr>
        <vertAlign val="subscript"/>
        <sz val="10"/>
        <rFont val="Verdana"/>
        <family val="2"/>
      </rPr>
      <t>t</t>
    </r>
    <r>
      <rPr>
        <sz val="8"/>
        <rFont val="Verdana"/>
        <family val="2"/>
      </rPr>
      <t>/NEA</t>
    </r>
    <r>
      <rPr>
        <vertAlign val="subscript"/>
        <sz val="10"/>
        <rFont val="Verdana"/>
        <family val="2"/>
      </rPr>
      <t>t-1</t>
    </r>
    <r>
      <rPr>
        <sz val="8"/>
        <rFont val="Verdana"/>
        <family val="2"/>
      </rPr>
      <t xml:space="preserve"> - 1]</t>
    </r>
  </si>
  <si>
    <t>Market value inputs</t>
  </si>
  <si>
    <t>Market value of equity</t>
  </si>
  <si>
    <t>Enterprise value</t>
  </si>
  <si>
    <t>Debiased ROIC: Market-based ROIC = ECF yield + Growth rate in NEA</t>
  </si>
  <si>
    <t>Debiasing ROIC: Market-based ROIC</t>
  </si>
  <si>
    <t>Growth rate in net enterprise assets [or growth rate in invested capital]</t>
  </si>
  <si>
    <t>Market value of net financial liabilities [approximated by their book value]</t>
  </si>
  <si>
    <t>Enterprice cash flow yield = ECF/Beginning EV</t>
  </si>
  <si>
    <t>Common shareholder's equity after non-controlling interest [EQ]</t>
  </si>
  <si>
    <t>Profit (loss) after tax [NI] attributable to common shareholders after non-controlling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</si>
</sst>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0.0000_);[Red]\(#,##0.0000\)"/>
    <numFmt numFmtId="166" formatCode="#,##0.00%_);[Red]\(#,##0.00%\)"/>
    <numFmt numFmtId="167" formatCode="#,##0.00\d_);[Red]\(#,##0.00\d\)"/>
    <numFmt numFmtId="168" formatCode="#,##0.00\x_);[Red]\(#,##0.00\x\)"/>
    <numFmt numFmtId="169" formatCode="[$USD]\ #,##0.00_);[Red]\([$USD]\ #,##0.00\)"/>
  </numFmts>
  <fonts count="27" x14ac:knownFonts="1">
    <font>
      <sz val="8"/>
      <name val="Verdana"/>
      <family val="2"/>
    </font>
    <font>
      <sz val="8"/>
      <color theme="1"/>
      <name val="Verdana"/>
      <family val="2"/>
    </font>
    <font>
      <sz val="8"/>
      <name val="Verdana"/>
      <family val="2"/>
    </font>
    <font>
      <sz val="8"/>
      <name val="Verdana"/>
      <family val="2"/>
    </font>
    <font>
      <i/>
      <sz val="8"/>
      <color indexed="17"/>
      <name val="Verdana"/>
      <family val="2"/>
    </font>
    <font>
      <b/>
      <sz val="8"/>
      <name val="Verdana"/>
      <family val="2"/>
    </font>
    <font>
      <b/>
      <i/>
      <sz val="8"/>
      <color indexed="12"/>
      <name val="Verdana"/>
      <family val="2"/>
    </font>
    <font>
      <b/>
      <sz val="8"/>
      <color indexed="9"/>
      <name val="Verdana"/>
      <family val="2"/>
    </font>
    <font>
      <u/>
      <sz val="8"/>
      <color indexed="12"/>
      <name val="Verdana"/>
      <family val="2"/>
    </font>
    <font>
      <vertAlign val="subscript"/>
      <sz val="10"/>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8"/>
      <color rgb="FF006100"/>
      <name val="Verdana"/>
      <family val="2"/>
    </font>
    <font>
      <sz val="8"/>
      <color rgb="FF9C0006"/>
      <name val="Verdana"/>
      <family val="2"/>
    </font>
    <font>
      <sz val="8"/>
      <color rgb="FF9C6500"/>
      <name val="Verdana"/>
      <family val="2"/>
    </font>
    <font>
      <sz val="8"/>
      <color rgb="FF3F3F76"/>
      <name val="Verdana"/>
      <family val="2"/>
    </font>
    <font>
      <b/>
      <sz val="8"/>
      <color rgb="FF3F3F3F"/>
      <name val="Verdana"/>
      <family val="2"/>
    </font>
    <font>
      <b/>
      <sz val="8"/>
      <color rgb="FFFA7D00"/>
      <name val="Verdana"/>
      <family val="2"/>
    </font>
    <font>
      <sz val="8"/>
      <color rgb="FFFA7D00"/>
      <name val="Verdana"/>
      <family val="2"/>
    </font>
    <font>
      <b/>
      <sz val="8"/>
      <color theme="0"/>
      <name val="Verdana"/>
      <family val="2"/>
    </font>
    <font>
      <sz val="8"/>
      <color rgb="FFFF0000"/>
      <name val="Verdana"/>
      <family val="2"/>
    </font>
    <font>
      <i/>
      <sz val="8"/>
      <color rgb="FF7F7F7F"/>
      <name val="Verdana"/>
      <family val="2"/>
    </font>
    <font>
      <b/>
      <sz val="8"/>
      <color theme="1"/>
      <name val="Verdana"/>
      <family val="2"/>
    </font>
    <font>
      <sz val="8"/>
      <color theme="0"/>
      <name val="Verdana"/>
      <family val="2"/>
    </font>
    <font>
      <b/>
      <i/>
      <sz val="8"/>
      <color indexed="17"/>
      <name val="Verdana"/>
      <family val="2"/>
    </font>
  </fonts>
  <fills count="41">
    <fill>
      <patternFill patternType="none"/>
    </fill>
    <fill>
      <patternFill patternType="gray125"/>
    </fill>
    <fill>
      <patternFill patternType="solid">
        <fgColor indexed="44"/>
        <bgColor indexed="64"/>
      </patternFill>
    </fill>
    <fill>
      <patternFill patternType="solid">
        <fgColor indexed="15"/>
        <bgColor indexed="64"/>
      </patternFill>
    </fill>
    <fill>
      <patternFill patternType="solid">
        <fgColor indexed="40"/>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CCFFCC"/>
        <bgColor indexed="64"/>
      </patternFill>
    </fill>
  </fills>
  <borders count="20">
    <border>
      <left/>
      <right/>
      <top/>
      <bottom/>
      <diagonal/>
    </border>
    <border>
      <left/>
      <right/>
      <top style="thin">
        <color indexed="64"/>
      </top>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64"/>
      </top>
      <bottom style="double">
        <color indexed="64"/>
      </bottom>
      <diagonal/>
    </border>
    <border>
      <left/>
      <right/>
      <top/>
      <bottom style="dash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diagonal/>
    </border>
    <border>
      <left style="thin">
        <color auto="1"/>
      </left>
      <right/>
      <top/>
      <bottom style="thin">
        <color indexed="64"/>
      </bottom>
      <diagonal/>
    </border>
    <border>
      <left/>
      <right style="thin">
        <color auto="1"/>
      </right>
      <top/>
      <bottom style="double">
        <color indexed="64"/>
      </bottom>
      <diagonal/>
    </border>
  </borders>
  <cellStyleXfs count="64">
    <xf numFmtId="0" fontId="0" fillId="0" borderId="0"/>
    <xf numFmtId="165" fontId="3" fillId="0" borderId="0" applyFill="0" applyBorder="0" applyProtection="0"/>
    <xf numFmtId="164" fontId="3" fillId="0" borderId="0" applyFill="0" applyBorder="0" applyProtection="0"/>
    <xf numFmtId="167" fontId="4" fillId="0" borderId="0" applyFill="0" applyBorder="0" applyProtection="0"/>
    <xf numFmtId="168" fontId="4" fillId="0" borderId="0" applyFill="0" applyBorder="0" applyProtection="0"/>
    <xf numFmtId="40" fontId="4" fillId="0" borderId="0" applyFill="0" applyBorder="0" applyProtection="0"/>
    <xf numFmtId="166" fontId="4" fillId="0" borderId="0" applyFill="0" applyBorder="0" applyProtection="0"/>
    <xf numFmtId="0" fontId="4" fillId="0" borderId="0" applyNumberFormat="0" applyFill="0" applyBorder="0" applyProtection="0"/>
    <xf numFmtId="1" fontId="3" fillId="0" borderId="0" applyFill="0" applyBorder="0" applyProtection="0">
      <alignment horizontal="center"/>
    </xf>
    <xf numFmtId="167" fontId="3" fillId="0" borderId="0" applyFill="0" applyBorder="0" applyProtection="0"/>
    <xf numFmtId="0" fontId="5" fillId="0" borderId="0" applyNumberFormat="0" applyFill="0" applyBorder="0" applyProtection="0"/>
    <xf numFmtId="0" fontId="3" fillId="0" borderId="0" applyNumberFormat="0" applyFill="0" applyBorder="0" applyAlignment="0" applyProtection="0"/>
    <xf numFmtId="168" fontId="3" fillId="0" borderId="0" applyFill="0" applyBorder="0" applyProtection="0"/>
    <xf numFmtId="40" fontId="3" fillId="0" borderId="0" applyFill="0" applyBorder="0" applyProtection="0"/>
    <xf numFmtId="166" fontId="3" fillId="0" borderId="0" applyFill="0" applyBorder="0" applyProtection="0"/>
    <xf numFmtId="0" fontId="3" fillId="0" borderId="0" applyNumberFormat="0" applyFill="0" applyBorder="0" applyProtection="0"/>
    <xf numFmtId="169" fontId="3" fillId="0" borderId="0" applyFill="0" applyBorder="0" applyProtection="0">
      <alignment horizontal="right"/>
    </xf>
    <xf numFmtId="0" fontId="8" fillId="0" borderId="0" applyNumberFormat="0" applyFill="0" applyBorder="0" applyAlignment="0" applyProtection="0">
      <alignment vertical="top"/>
      <protection locked="0"/>
    </xf>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9" borderId="0" applyNumberFormat="0" applyBorder="0" applyAlignment="0" applyProtection="0"/>
    <xf numFmtId="0" fontId="16" fillId="10" borderId="0" applyNumberFormat="0" applyBorder="0" applyAlignment="0" applyProtection="0"/>
    <xf numFmtId="0" fontId="17" fillId="11" borderId="11" applyNumberFormat="0" applyAlignment="0" applyProtection="0"/>
    <xf numFmtId="0" fontId="18" fillId="12" borderId="12" applyNumberFormat="0" applyAlignment="0" applyProtection="0"/>
    <xf numFmtId="0" fontId="19" fillId="12" borderId="11" applyNumberFormat="0" applyAlignment="0" applyProtection="0"/>
    <xf numFmtId="0" fontId="20" fillId="0" borderId="13" applyNumberFormat="0" applyFill="0" applyAlignment="0" applyProtection="0"/>
    <xf numFmtId="0" fontId="21" fillId="13" borderId="14" applyNumberFormat="0" applyAlignment="0" applyProtection="0"/>
    <xf numFmtId="0" fontId="22" fillId="0" borderId="0" applyNumberFormat="0" applyFill="0" applyBorder="0" applyAlignment="0" applyProtection="0"/>
    <xf numFmtId="0" fontId="3" fillId="14" borderId="15" applyNumberFormat="0" applyFon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5" fillId="38" borderId="0" applyNumberFormat="0" applyBorder="0" applyAlignment="0" applyProtection="0"/>
  </cellStyleXfs>
  <cellXfs count="148">
    <xf numFmtId="0" fontId="0" fillId="0" borderId="0" xfId="0"/>
    <xf numFmtId="40" fontId="3" fillId="0" borderId="1" xfId="13" applyBorder="1"/>
    <xf numFmtId="0" fontId="0" fillId="0" borderId="2" xfId="0" applyBorder="1"/>
    <xf numFmtId="40" fontId="4" fillId="0" borderId="0" xfId="5"/>
    <xf numFmtId="40" fontId="4" fillId="0" borderId="0" xfId="5" applyFont="1"/>
    <xf numFmtId="38" fontId="0" fillId="0" borderId="0" xfId="0" applyNumberFormat="1"/>
    <xf numFmtId="40" fontId="3" fillId="0" borderId="3" xfId="13" applyBorder="1"/>
    <xf numFmtId="0" fontId="0" fillId="0" borderId="3" xfId="0" applyBorder="1"/>
    <xf numFmtId="0" fontId="0" fillId="0" borderId="4" xfId="0" applyBorder="1"/>
    <xf numFmtId="38" fontId="0" fillId="0" borderId="3" xfId="0" applyNumberFormat="1" applyBorder="1"/>
    <xf numFmtId="38" fontId="0" fillId="0" borderId="2" xfId="0" applyNumberFormat="1" applyBorder="1"/>
    <xf numFmtId="0" fontId="0" fillId="0" borderId="0" xfId="0" applyBorder="1"/>
    <xf numFmtId="0" fontId="0" fillId="0" borderId="0" xfId="0" applyFill="1" applyBorder="1"/>
    <xf numFmtId="0" fontId="0" fillId="2" borderId="5" xfId="0" applyFill="1" applyBorder="1"/>
    <xf numFmtId="40" fontId="3" fillId="0" borderId="0" xfId="13" applyBorder="1"/>
    <xf numFmtId="40" fontId="6" fillId="3" borderId="4" xfId="13" applyFont="1" applyFill="1" applyBorder="1"/>
    <xf numFmtId="0" fontId="0" fillId="0" borderId="6" xfId="0" applyBorder="1"/>
    <xf numFmtId="1" fontId="3" fillId="2" borderId="5" xfId="8" applyFont="1" applyFill="1" applyBorder="1">
      <alignment horizontal="center"/>
    </xf>
    <xf numFmtId="0" fontId="0" fillId="2" borderId="0" xfId="0" applyFill="1"/>
    <xf numFmtId="0" fontId="8" fillId="0" borderId="0" xfId="17" applyAlignment="1" applyProtection="1"/>
    <xf numFmtId="40" fontId="4" fillId="0" borderId="3" xfId="5" applyBorder="1"/>
    <xf numFmtId="40" fontId="6" fillId="3" borderId="6" xfId="13" applyFont="1" applyFill="1" applyBorder="1"/>
    <xf numFmtId="0" fontId="0" fillId="0" borderId="0" xfId="0" quotePrefix="1" applyFill="1" applyBorder="1"/>
    <xf numFmtId="38" fontId="0" fillId="0" borderId="0" xfId="0" applyNumberFormat="1" applyBorder="1"/>
    <xf numFmtId="40" fontId="6" fillId="3" borderId="2" xfId="13" applyFont="1" applyFill="1" applyBorder="1"/>
    <xf numFmtId="40" fontId="6" fillId="3" borderId="0" xfId="13" applyFont="1" applyFill="1" applyBorder="1"/>
    <xf numFmtId="0" fontId="0" fillId="0" borderId="5" xfId="0" applyBorder="1"/>
    <xf numFmtId="40" fontId="6" fillId="3" borderId="5" xfId="13" applyFont="1" applyFill="1" applyBorder="1"/>
    <xf numFmtId="0" fontId="5" fillId="2" borderId="0" xfId="10" applyFont="1" applyFill="1" applyBorder="1"/>
    <xf numFmtId="40" fontId="4" fillId="0" borderId="0" xfId="5" applyFont="1" applyBorder="1"/>
    <xf numFmtId="40" fontId="4" fillId="0" borderId="0" xfId="5" applyBorder="1"/>
    <xf numFmtId="38" fontId="0" fillId="0" borderId="6" xfId="0" applyNumberFormat="1" applyBorder="1"/>
    <xf numFmtId="40" fontId="3" fillId="0" borderId="2" xfId="13" applyBorder="1"/>
    <xf numFmtId="40" fontId="3" fillId="0" borderId="0" xfId="13"/>
    <xf numFmtId="0" fontId="0" fillId="0" borderId="6" xfId="0" quotePrefix="1" applyBorder="1"/>
    <xf numFmtId="0" fontId="5" fillId="0" borderId="6" xfId="10" quotePrefix="1" applyBorder="1"/>
    <xf numFmtId="40" fontId="3" fillId="0" borderId="2" xfId="13" applyFont="1" applyFill="1" applyBorder="1"/>
    <xf numFmtId="166" fontId="3" fillId="0" borderId="0" xfId="14"/>
    <xf numFmtId="0" fontId="0" fillId="2" borderId="0" xfId="0" applyFill="1" applyBorder="1"/>
    <xf numFmtId="1" fontId="0" fillId="2" borderId="0" xfId="0" applyNumberFormat="1" applyFill="1" applyAlignment="1">
      <alignment horizontal="center"/>
    </xf>
    <xf numFmtId="0" fontId="7" fillId="4" borderId="2" xfId="10" applyFont="1" applyFill="1" applyBorder="1"/>
    <xf numFmtId="0" fontId="7" fillId="2" borderId="0" xfId="10" applyFont="1" applyFill="1" applyBorder="1"/>
    <xf numFmtId="168" fontId="3" fillId="0" borderId="0" xfId="12"/>
    <xf numFmtId="0" fontId="5" fillId="2" borderId="0" xfId="10" applyFill="1" applyBorder="1"/>
    <xf numFmtId="40" fontId="3" fillId="0" borderId="4" xfId="13" applyBorder="1"/>
    <xf numFmtId="40" fontId="3" fillId="0" borderId="3" xfId="13" applyFill="1" applyBorder="1"/>
    <xf numFmtId="0" fontId="5" fillId="0" borderId="0" xfId="10"/>
    <xf numFmtId="0" fontId="5" fillId="5" borderId="0" xfId="10" applyFill="1"/>
    <xf numFmtId="0" fontId="0" fillId="5" borderId="0" xfId="0" applyFill="1"/>
    <xf numFmtId="1" fontId="3" fillId="5" borderId="5" xfId="8" applyFont="1" applyFill="1" applyBorder="1">
      <alignment horizontal="center"/>
    </xf>
    <xf numFmtId="166" fontId="4" fillId="0" borderId="3" xfId="6" applyBorder="1"/>
    <xf numFmtId="40" fontId="4" fillId="0" borderId="2" xfId="5" applyFont="1" applyBorder="1"/>
    <xf numFmtId="40" fontId="4" fillId="0" borderId="2" xfId="5" applyBorder="1"/>
    <xf numFmtId="40" fontId="3" fillId="0" borderId="0" xfId="13" applyFont="1"/>
    <xf numFmtId="0" fontId="0" fillId="0" borderId="0" xfId="0" applyFill="1" applyBorder="1" applyAlignment="1">
      <alignment wrapText="1"/>
    </xf>
    <xf numFmtId="40" fontId="3" fillId="0" borderId="0" xfId="13" applyFont="1" applyFill="1" applyBorder="1"/>
    <xf numFmtId="40" fontId="3" fillId="0" borderId="3" xfId="13" quotePrefix="1" applyFont="1" applyFill="1" applyBorder="1"/>
    <xf numFmtId="40" fontId="3" fillId="0" borderId="6" xfId="13" applyBorder="1"/>
    <xf numFmtId="166" fontId="3" fillId="0" borderId="3" xfId="14" applyBorder="1"/>
    <xf numFmtId="0" fontId="0" fillId="6" borderId="2" xfId="0" applyFill="1" applyBorder="1"/>
    <xf numFmtId="0" fontId="5" fillId="2" borderId="0" xfId="10" applyFill="1"/>
    <xf numFmtId="40" fontId="4" fillId="0" borderId="3" xfId="5" applyFill="1" applyBorder="1"/>
    <xf numFmtId="40" fontId="3" fillId="0" borderId="3" xfId="13" quotePrefix="1" applyBorder="1"/>
    <xf numFmtId="0" fontId="5" fillId="0" borderId="2" xfId="10" quotePrefix="1" applyBorder="1"/>
    <xf numFmtId="0" fontId="5" fillId="0" borderId="0" xfId="10" applyBorder="1"/>
    <xf numFmtId="40" fontId="3" fillId="0" borderId="0" xfId="13" quotePrefix="1"/>
    <xf numFmtId="0" fontId="5" fillId="4" borderId="2" xfId="10" applyFill="1" applyBorder="1"/>
    <xf numFmtId="40" fontId="3" fillId="0" borderId="0" xfId="13" applyFill="1" applyBorder="1"/>
    <xf numFmtId="40" fontId="3" fillId="0" borderId="3" xfId="13" quotePrefix="1" applyFont="1" applyBorder="1"/>
    <xf numFmtId="40" fontId="3" fillId="0" borderId="0" xfId="13" quotePrefix="1" applyFont="1" applyFill="1" applyBorder="1"/>
    <xf numFmtId="40" fontId="3" fillId="0" borderId="2" xfId="13" quotePrefix="1" applyFont="1" applyFill="1" applyBorder="1"/>
    <xf numFmtId="40" fontId="3" fillId="0" borderId="2" xfId="13" quotePrefix="1" applyBorder="1"/>
    <xf numFmtId="0" fontId="5" fillId="2" borderId="0" xfId="10" applyFont="1" applyFill="1"/>
    <xf numFmtId="40" fontId="3" fillId="0" borderId="3" xfId="13" applyFont="1" applyBorder="1"/>
    <xf numFmtId="40" fontId="3" fillId="0" borderId="3" xfId="13" applyFont="1" applyFill="1" applyBorder="1"/>
    <xf numFmtId="166" fontId="3" fillId="0" borderId="2" xfId="14" applyBorder="1"/>
    <xf numFmtId="0" fontId="5" fillId="5" borderId="0" xfId="10" applyFont="1" applyFill="1"/>
    <xf numFmtId="0" fontId="5" fillId="6" borderId="2" xfId="10" applyFont="1" applyFill="1" applyBorder="1"/>
    <xf numFmtId="0" fontId="8" fillId="7" borderId="0" xfId="17" applyFill="1" applyAlignment="1" applyProtection="1">
      <alignment horizontal="centerContinuous"/>
    </xf>
    <xf numFmtId="0" fontId="5" fillId="2" borderId="5" xfId="10" applyFont="1" applyFill="1" applyBorder="1"/>
    <xf numFmtId="0" fontId="5" fillId="0" borderId="0" xfId="10" applyFont="1"/>
    <xf numFmtId="0" fontId="3" fillId="0" borderId="0" xfId="11"/>
    <xf numFmtId="40" fontId="5" fillId="2" borderId="0" xfId="10" applyNumberFormat="1" applyFill="1" applyBorder="1" applyAlignment="1"/>
    <xf numFmtId="1" fontId="3" fillId="2" borderId="5" xfId="8" applyFill="1" applyBorder="1" applyAlignment="1">
      <alignment horizontal="center"/>
    </xf>
    <xf numFmtId="1" fontId="3" fillId="2" borderId="0" xfId="8" applyFill="1" applyBorder="1" applyAlignment="1">
      <alignment horizontal="center"/>
    </xf>
    <xf numFmtId="1" fontId="3" fillId="2" borderId="0" xfId="8" applyFill="1" applyAlignment="1">
      <alignment horizontal="center"/>
    </xf>
    <xf numFmtId="1" fontId="3" fillId="5" borderId="0" xfId="8" applyFill="1" applyAlignment="1">
      <alignment horizontal="center"/>
    </xf>
    <xf numFmtId="0" fontId="0" fillId="0" borderId="7" xfId="0" applyBorder="1"/>
    <xf numFmtId="38" fontId="0" fillId="0" borderId="7" xfId="0" applyNumberFormat="1" applyBorder="1"/>
    <xf numFmtId="40" fontId="3" fillId="0" borderId="7" xfId="13" applyBorder="1"/>
    <xf numFmtId="0" fontId="5" fillId="0" borderId="0" xfId="10" quotePrefix="1" applyFont="1" applyFill="1" applyBorder="1" applyAlignment="1">
      <alignment wrapText="1"/>
    </xf>
    <xf numFmtId="40" fontId="3" fillId="0" borderId="3" xfId="13" applyBorder="1" applyAlignment="1">
      <alignment wrapText="1"/>
    </xf>
    <xf numFmtId="40" fontId="3" fillId="0" borderId="0" xfId="13" applyAlignment="1">
      <alignment wrapText="1"/>
    </xf>
    <xf numFmtId="40" fontId="3" fillId="0" borderId="0" xfId="13" applyBorder="1" applyAlignment="1">
      <alignment wrapText="1"/>
    </xf>
    <xf numFmtId="40" fontId="3" fillId="0" borderId="3" xfId="13" quotePrefix="1" applyBorder="1" applyAlignment="1">
      <alignment wrapText="1"/>
    </xf>
    <xf numFmtId="0" fontId="5" fillId="0" borderId="2" xfId="10" applyFont="1" applyBorder="1" applyAlignment="1">
      <alignment wrapText="1"/>
    </xf>
    <xf numFmtId="40" fontId="3" fillId="0" borderId="0" xfId="13" applyFont="1" applyAlignment="1">
      <alignment wrapText="1"/>
    </xf>
    <xf numFmtId="0" fontId="0" fillId="0" borderId="7" xfId="0" quotePrefix="1" applyFill="1" applyBorder="1" applyAlignment="1">
      <alignment wrapText="1"/>
    </xf>
    <xf numFmtId="40" fontId="3" fillId="0" borderId="3" xfId="13" quotePrefix="1" applyFont="1" applyFill="1" applyBorder="1" applyAlignment="1">
      <alignment wrapText="1"/>
    </xf>
    <xf numFmtId="40" fontId="3" fillId="0" borderId="2" xfId="13" applyFill="1" applyBorder="1" applyAlignment="1">
      <alignment wrapText="1"/>
    </xf>
    <xf numFmtId="0" fontId="5" fillId="0" borderId="0" xfId="10" applyFont="1" applyAlignment="1">
      <alignment wrapText="1"/>
    </xf>
    <xf numFmtId="0" fontId="5" fillId="0" borderId="4" xfId="10" applyBorder="1" applyAlignment="1">
      <alignment wrapText="1"/>
    </xf>
    <xf numFmtId="40" fontId="3" fillId="0" borderId="6" xfId="13" applyFont="1" applyBorder="1" applyAlignment="1">
      <alignment wrapText="1"/>
    </xf>
    <xf numFmtId="0" fontId="5" fillId="0" borderId="2" xfId="10" quotePrefix="1" applyBorder="1" applyAlignment="1">
      <alignment wrapText="1"/>
    </xf>
    <xf numFmtId="0" fontId="5" fillId="0" borderId="6" xfId="10" quotePrefix="1" applyBorder="1" applyAlignment="1">
      <alignment wrapText="1"/>
    </xf>
    <xf numFmtId="0" fontId="5" fillId="0" borderId="0" xfId="10" applyBorder="1" applyAlignment="1">
      <alignment wrapText="1"/>
    </xf>
    <xf numFmtId="40" fontId="3" fillId="0" borderId="0" xfId="13" quotePrefix="1" applyAlignment="1">
      <alignment wrapText="1"/>
    </xf>
    <xf numFmtId="40" fontId="3" fillId="0" borderId="4" xfId="13" applyBorder="1" applyAlignment="1">
      <alignment wrapText="1"/>
    </xf>
    <xf numFmtId="40" fontId="3" fillId="0" borderId="0" xfId="13" applyFill="1" applyBorder="1" applyAlignment="1">
      <alignment wrapText="1"/>
    </xf>
    <xf numFmtId="40" fontId="3" fillId="0" borderId="3" xfId="13" quotePrefix="1" applyFill="1" applyBorder="1" applyAlignment="1">
      <alignment wrapText="1"/>
    </xf>
    <xf numFmtId="40" fontId="3" fillId="0" borderId="2" xfId="13" applyBorder="1" applyAlignment="1">
      <alignment wrapText="1"/>
    </xf>
    <xf numFmtId="40" fontId="3" fillId="0" borderId="3" xfId="13" applyFill="1" applyBorder="1" applyAlignment="1">
      <alignment wrapText="1"/>
    </xf>
    <xf numFmtId="166" fontId="3" fillId="0" borderId="0" xfId="14" applyAlignment="1"/>
    <xf numFmtId="40" fontId="3" fillId="0" borderId="0" xfId="13" applyAlignment="1"/>
    <xf numFmtId="166" fontId="0" fillId="0" borderId="0" xfId="0" applyNumberFormat="1"/>
    <xf numFmtId="40" fontId="0" fillId="0" borderId="0" xfId="0" applyNumberFormat="1"/>
    <xf numFmtId="0" fontId="5" fillId="39" borderId="0" xfId="10" applyFill="1" applyAlignment="1"/>
    <xf numFmtId="0" fontId="0" fillId="39" borderId="0" xfId="0" applyFill="1"/>
    <xf numFmtId="1" fontId="3" fillId="39" borderId="0" xfId="8" applyFill="1" applyAlignment="1">
      <alignment horizontal="center"/>
    </xf>
    <xf numFmtId="40" fontId="0" fillId="0" borderId="2" xfId="0" applyNumberFormat="1" applyBorder="1"/>
    <xf numFmtId="0" fontId="5" fillId="39" borderId="0" xfId="10" applyFill="1" applyBorder="1" applyAlignment="1"/>
    <xf numFmtId="40" fontId="4" fillId="40" borderId="0" xfId="5" applyFill="1" applyAlignment="1"/>
    <xf numFmtId="166" fontId="4" fillId="40" borderId="0" xfId="6" applyFill="1" applyAlignment="1"/>
    <xf numFmtId="0" fontId="0" fillId="0" borderId="2" xfId="0" applyFill="1" applyBorder="1"/>
    <xf numFmtId="166" fontId="3" fillId="0" borderId="2" xfId="14" applyBorder="1" applyAlignment="1"/>
    <xf numFmtId="0" fontId="0" fillId="0" borderId="17" xfId="0" applyBorder="1"/>
    <xf numFmtId="166" fontId="3" fillId="0" borderId="17" xfId="14" applyBorder="1" applyAlignment="1"/>
    <xf numFmtId="40" fontId="25" fillId="0" borderId="18" xfId="0" applyNumberFormat="1" applyFont="1" applyBorder="1"/>
    <xf numFmtId="166" fontId="25" fillId="0" borderId="3" xfId="0" applyNumberFormat="1" applyFont="1" applyBorder="1"/>
    <xf numFmtId="40" fontId="3" fillId="0" borderId="0" xfId="13" applyBorder="1" applyAlignment="1"/>
    <xf numFmtId="166" fontId="3" fillId="0" borderId="0" xfId="14" applyBorder="1" applyAlignment="1"/>
    <xf numFmtId="166" fontId="3" fillId="0" borderId="19" xfId="14" applyBorder="1" applyAlignment="1"/>
    <xf numFmtId="40" fontId="3" fillId="0" borderId="2" xfId="13" applyBorder="1" applyAlignment="1"/>
    <xf numFmtId="166" fontId="5" fillId="0" borderId="17" xfId="14" applyFont="1" applyBorder="1" applyAlignment="1"/>
    <xf numFmtId="40" fontId="5" fillId="0" borderId="0" xfId="13" applyFont="1" applyAlignment="1"/>
    <xf numFmtId="166" fontId="5" fillId="0" borderId="0" xfId="14" applyFont="1" applyAlignment="1"/>
    <xf numFmtId="166" fontId="26" fillId="40" borderId="0" xfId="6" applyFont="1" applyFill="1" applyAlignment="1"/>
    <xf numFmtId="40" fontId="0" fillId="0" borderId="0" xfId="13" applyFont="1" applyFill="1" applyBorder="1" applyAlignment="1">
      <alignment wrapText="1"/>
    </xf>
    <xf numFmtId="0" fontId="0" fillId="0" borderId="0" xfId="0" applyFill="1"/>
    <xf numFmtId="40" fontId="0" fillId="0" borderId="0" xfId="13" applyFont="1"/>
    <xf numFmtId="40" fontId="0" fillId="0" borderId="6" xfId="13" applyFont="1" applyBorder="1"/>
    <xf numFmtId="40" fontId="3" fillId="0" borderId="6" xfId="13" applyBorder="1" applyAlignment="1"/>
    <xf numFmtId="40" fontId="4" fillId="0" borderId="0" xfId="5" applyBorder="1" applyAlignment="1"/>
    <xf numFmtId="40" fontId="4" fillId="0" borderId="2" xfId="5" applyBorder="1" applyAlignment="1"/>
    <xf numFmtId="0" fontId="5" fillId="40" borderId="0" xfId="10" applyFill="1" applyBorder="1"/>
    <xf numFmtId="0" fontId="0" fillId="40" borderId="0" xfId="0" applyFill="1"/>
    <xf numFmtId="1" fontId="0" fillId="40" borderId="0" xfId="0" applyNumberFormat="1" applyFill="1" applyAlignment="1">
      <alignment horizontal="center"/>
    </xf>
    <xf numFmtId="40" fontId="5" fillId="0" borderId="2" xfId="13" applyFont="1" applyBorder="1"/>
  </cellXfs>
  <cellStyles count="64">
    <cellStyle name="20% - Accent1" xfId="41" builtinId="30" hidden="1"/>
    <cellStyle name="20% - Accent2" xfId="45" builtinId="34" hidden="1"/>
    <cellStyle name="20% - Accent3" xfId="49" builtinId="38" hidden="1"/>
    <cellStyle name="20% - Accent4" xfId="53" builtinId="42" hidden="1"/>
    <cellStyle name="20% - Accent5" xfId="57" builtinId="46" hidden="1"/>
    <cellStyle name="20% - Accent6" xfId="61" builtinId="50" hidden="1"/>
    <cellStyle name="40% - Accent1" xfId="42" builtinId="31" hidden="1"/>
    <cellStyle name="40% - Accent2" xfId="46" builtinId="35" hidden="1"/>
    <cellStyle name="40% - Accent3" xfId="50" builtinId="39" hidden="1"/>
    <cellStyle name="40% - Accent4" xfId="54" builtinId="43" hidden="1"/>
    <cellStyle name="40% - Accent5" xfId="58" builtinId="47" hidden="1"/>
    <cellStyle name="40% - Accent6" xfId="62" builtinId="51" hidden="1"/>
    <cellStyle name="60% - Accent1" xfId="43" builtinId="32" hidden="1"/>
    <cellStyle name="60% - Accent2" xfId="47" builtinId="36" hidden="1"/>
    <cellStyle name="60% - Accent3" xfId="51" builtinId="40" hidden="1"/>
    <cellStyle name="60% - Accent4" xfId="55" builtinId="44" hidden="1"/>
    <cellStyle name="60% - Accent5" xfId="59" builtinId="48" hidden="1"/>
    <cellStyle name="60% - Accent6" xfId="63" builtinId="52" hidden="1"/>
    <cellStyle name="Accent1" xfId="40" builtinId="29" hidden="1"/>
    <cellStyle name="Accent2" xfId="44" builtinId="33" hidden="1"/>
    <cellStyle name="Accent3" xfId="48" builtinId="37" hidden="1"/>
    <cellStyle name="Accent4" xfId="52" builtinId="41" hidden="1"/>
    <cellStyle name="Accent5" xfId="56" builtinId="45" hidden="1"/>
    <cellStyle name="Accent6" xfId="60" builtinId="49" hidden="1"/>
    <cellStyle name="Bad" xfId="29" builtinId="27" hidden="1"/>
    <cellStyle name="Calculation" xfId="33" builtinId="22" hidden="1"/>
    <cellStyle name="Check Cell" xfId="35" builtinId="23" hidden="1"/>
    <cellStyle name="Comma" xfId="18" builtinId="3" hidden="1"/>
    <cellStyle name="Comma [0]" xfId="19" builtinId="6" hidden="1"/>
    <cellStyle name="Currency" xfId="20" builtinId="4" hidden="1"/>
    <cellStyle name="Currency [0]" xfId="21" builtinId="7" hidden="1"/>
    <cellStyle name="Explanatory Text" xfId="38" builtinId="53" hidden="1"/>
    <cellStyle name="g4Num" xfId="1"/>
    <cellStyle name="g4Percent" xfId="2"/>
    <cellStyle name="gAsDays" xfId="3"/>
    <cellStyle name="gAsMultiple" xfId="4"/>
    <cellStyle name="gAsNum" xfId="5"/>
    <cellStyle name="gAsPercent" xfId="6"/>
    <cellStyle name="gAsText" xfId="7"/>
    <cellStyle name="gColumnTop" xfId="8"/>
    <cellStyle name="gDays" xfId="9"/>
    <cellStyle name="gHeading" xfId="10"/>
    <cellStyle name="gLastStep" xfId="11"/>
    <cellStyle name="gMultiple" xfId="12"/>
    <cellStyle name="gNum" xfId="13"/>
    <cellStyle name="Good" xfId="28" builtinId="26" hidden="1"/>
    <cellStyle name="gPercent" xfId="14"/>
    <cellStyle name="gText" xfId="15"/>
    <cellStyle name="gUSD" xfId="16"/>
    <cellStyle name="Heading 1" xfId="24" builtinId="16" hidden="1"/>
    <cellStyle name="Heading 2" xfId="25" builtinId="17" hidden="1"/>
    <cellStyle name="Heading 3" xfId="26" builtinId="18" hidden="1"/>
    <cellStyle name="Heading 4" xfId="27" builtinId="19" hidden="1"/>
    <cellStyle name="Hyperlink" xfId="17" builtinId="8" customBuiltin="1"/>
    <cellStyle name="Input" xfId="31" builtinId="20" hidden="1"/>
    <cellStyle name="Linked Cell" xfId="34" builtinId="24" hidden="1"/>
    <cellStyle name="Neutral" xfId="30" builtinId="28" hidden="1"/>
    <cellStyle name="Normal" xfId="0" builtinId="0" customBuiltin="1"/>
    <cellStyle name="Note" xfId="37" builtinId="10" hidden="1"/>
    <cellStyle name="Output" xfId="32" builtinId="21" hidden="1"/>
    <cellStyle name="Percent" xfId="22" builtinId="5" hidden="1"/>
    <cellStyle name="Title" xfId="23" builtinId="15" hidden="1"/>
    <cellStyle name="Total" xfId="39" builtinId="25" hidden="1"/>
    <cellStyle name="Warning Text" xfId="36" builtinId="11" hidden="1"/>
  </cellStyles>
  <dxfs count="2">
    <dxf>
      <font>
        <b val="0"/>
        <i val="0"/>
        <condense val="0"/>
        <extend val="0"/>
        <color indexed="9"/>
      </font>
      <fill>
        <patternFill patternType="none"/>
      </fill>
    </dxf>
    <dxf>
      <font>
        <b val="0"/>
        <i val="0"/>
        <condense val="0"/>
        <extend val="0"/>
        <color indexed="9"/>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866775</xdr:colOff>
      <xdr:row>0</xdr:row>
      <xdr:rowOff>66675</xdr:rowOff>
    </xdr:from>
    <xdr:to>
      <xdr:col>0</xdr:col>
      <xdr:colOff>4229100</xdr:colOff>
      <xdr:row>2</xdr:row>
      <xdr:rowOff>123825</xdr:rowOff>
    </xdr:to>
    <xdr:sp macro="" textlink="">
      <xdr:nvSpPr>
        <xdr:cNvPr id="1025" name="Text Box 1"/>
        <xdr:cNvSpPr txBox="1">
          <a:spLocks noChangeArrowheads="1"/>
        </xdr:cNvSpPr>
      </xdr:nvSpPr>
      <xdr:spPr bwMode="auto">
        <a:xfrm>
          <a:off x="866775" y="66675"/>
          <a:ext cx="3362325" cy="32385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sz="800" b="1" i="0" u="none" strike="noStrike" baseline="0">
              <a:solidFill>
                <a:srgbClr val="FFFFFF"/>
              </a:solidFill>
              <a:latin typeface="Verdana"/>
              <a:ea typeface="Verdana"/>
              <a:cs typeface="Verdana"/>
            </a:rPr>
            <a:t>Enterprise vs. Financial Activities</a:t>
          </a:r>
        </a:p>
        <a:p>
          <a:pPr algn="ctr" rtl="0">
            <a:defRPr sz="1000"/>
          </a:pPr>
          <a:r>
            <a:rPr lang="en-US" sz="800" b="1" i="0" u="none" strike="noStrike" baseline="0">
              <a:solidFill>
                <a:srgbClr val="FFFFFF"/>
              </a:solidFill>
              <a:latin typeface="Verdana"/>
              <a:ea typeface="Verdana"/>
              <a:cs typeface="Verdana"/>
            </a:rPr>
            <a:t>© Dan Gode and James Ohlson</a:t>
          </a:r>
          <a:endParaRPr lang="en-US"/>
        </a:p>
      </xdr:txBody>
    </xdr:sp>
    <xdr:clientData/>
  </xdr:twoCellAnchor>
  <xdr:twoCellAnchor editAs="oneCell">
    <xdr:from>
      <xdr:col>0</xdr:col>
      <xdr:colOff>38100</xdr:colOff>
      <xdr:row>3</xdr:row>
      <xdr:rowOff>38100</xdr:rowOff>
    </xdr:from>
    <xdr:to>
      <xdr:col>3</xdr:col>
      <xdr:colOff>123825</xdr:colOff>
      <xdr:row>8</xdr:row>
      <xdr:rowOff>114300</xdr:rowOff>
    </xdr:to>
    <xdr:sp macro="" textlink="">
      <xdr:nvSpPr>
        <xdr:cNvPr id="1027" name="Text Box 3"/>
        <xdr:cNvSpPr txBox="1">
          <a:spLocks noChangeArrowheads="1"/>
        </xdr:cNvSpPr>
      </xdr:nvSpPr>
      <xdr:spPr bwMode="auto">
        <a:xfrm>
          <a:off x="38100" y="438150"/>
          <a:ext cx="7343775" cy="742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a:ea typeface="Verdana"/>
              <a:cs typeface="Verdana"/>
            </a:rPr>
            <a:t>Enter data in all cells with green numbers, and only such cells. (Some green cells have formulas set up for simulations; overwrite them with your numbers.) Some spreadsheets require lines to be read out of order. </a:t>
          </a:r>
        </a:p>
        <a:p>
          <a:pPr algn="l" rtl="0">
            <a:defRPr sz="1000"/>
          </a:pPr>
          <a:endParaRPr lang="en-US" sz="800" b="0" i="0" u="none" strike="noStrike" baseline="0">
            <a:solidFill>
              <a:srgbClr val="000000"/>
            </a:solidFill>
            <a:latin typeface="Verdana"/>
            <a:ea typeface="Verdana"/>
            <a:cs typeface="Verdana"/>
          </a:endParaRPr>
        </a:p>
        <a:p>
          <a:pPr algn="l" rtl="0">
            <a:defRPr sz="1000"/>
          </a:pPr>
          <a:r>
            <a:rPr lang="en-US" sz="800" b="0" i="0" u="none" strike="noStrike" baseline="0">
              <a:solidFill>
                <a:srgbClr val="000000"/>
              </a:solidFill>
              <a:latin typeface="Verdana"/>
              <a:ea typeface="Verdana"/>
              <a:cs typeface="Verdana"/>
            </a:rPr>
            <a:t>"Click below" steps in the rightmost column indicate the sequence in which the lines should be read logically. Clicking a number will take you to the next number in sequence. These steps have been elaborated upon in the accompanying document.</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895350</xdr:colOff>
      <xdr:row>0</xdr:row>
      <xdr:rowOff>104775</xdr:rowOff>
    </xdr:from>
    <xdr:to>
      <xdr:col>3</xdr:col>
      <xdr:colOff>504825</xdr:colOff>
      <xdr:row>3</xdr:row>
      <xdr:rowOff>28575</xdr:rowOff>
    </xdr:to>
    <xdr:sp macro="" textlink="">
      <xdr:nvSpPr>
        <xdr:cNvPr id="2" name="Text Box 1"/>
        <xdr:cNvSpPr txBox="1">
          <a:spLocks noChangeArrowheads="1"/>
        </xdr:cNvSpPr>
      </xdr:nvSpPr>
      <xdr:spPr bwMode="auto">
        <a:xfrm>
          <a:off x="895350" y="104775"/>
          <a:ext cx="3362325" cy="32385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sz="800" b="1" i="0" u="none" strike="noStrike" baseline="0">
              <a:solidFill>
                <a:srgbClr val="FFFFFF"/>
              </a:solidFill>
              <a:latin typeface="Verdana"/>
              <a:ea typeface="Verdana"/>
              <a:cs typeface="Verdana"/>
            </a:rPr>
            <a:t>OPTIONAL: Bias in ROIC due to Conservatism</a:t>
          </a:r>
        </a:p>
        <a:p>
          <a:pPr algn="ctr" rtl="0">
            <a:defRPr sz="1000"/>
          </a:pPr>
          <a:r>
            <a:rPr lang="en-US" sz="800" b="1" i="0" u="none" strike="noStrike" baseline="0">
              <a:solidFill>
                <a:srgbClr val="FFFFFF"/>
              </a:solidFill>
              <a:latin typeface="Verdana"/>
              <a:ea typeface="Verdana"/>
              <a:cs typeface="Verdana"/>
            </a:rPr>
            <a:t>© Dan Gode and James Ohlson</a:t>
          </a:r>
          <a:endParaRPr lang="en-US"/>
        </a:p>
      </xdr:txBody>
    </xdr:sp>
    <xdr:clientData/>
  </xdr:twoCellAnchor>
  <xdr:twoCellAnchor editAs="oneCell">
    <xdr:from>
      <xdr:col>0</xdr:col>
      <xdr:colOff>19050</xdr:colOff>
      <xdr:row>20</xdr:row>
      <xdr:rowOff>66675</xdr:rowOff>
    </xdr:from>
    <xdr:to>
      <xdr:col>2</xdr:col>
      <xdr:colOff>0</xdr:colOff>
      <xdr:row>28</xdr:row>
      <xdr:rowOff>28575</xdr:rowOff>
    </xdr:to>
    <xdr:sp macro="" textlink="">
      <xdr:nvSpPr>
        <xdr:cNvPr id="3" name="Text Box 3"/>
        <xdr:cNvSpPr txBox="1">
          <a:spLocks noChangeArrowheads="1"/>
        </xdr:cNvSpPr>
      </xdr:nvSpPr>
      <xdr:spPr bwMode="auto">
        <a:xfrm>
          <a:off x="19050" y="2790825"/>
          <a:ext cx="3019425" cy="1028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a:effectLst/>
              <a:latin typeface="+mn-lt"/>
              <a:ea typeface="+mn-ea"/>
              <a:cs typeface="+mn-cs"/>
            </a:rPr>
            <a:t>Both the denominator and the numerator of ROIC are affected by conservatism. Conservatism always biases the denominator downwards. The bias in the numerator depends on the growth rate relative to economic return. The difference between the growth rate and economic return also affects the sign of enterprise cash flows (ECF).</a:t>
          </a: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heetPr>
  <dimension ref="A10:H182"/>
  <sheetViews>
    <sheetView showGridLines="0" tabSelected="1" topLeftCell="A6" zoomScaleNormal="100" workbookViewId="0">
      <selection activeCell="A16" sqref="A16"/>
    </sheetView>
  </sheetViews>
  <sheetFormatPr defaultRowHeight="10.5" outlineLevelRow="1" x14ac:dyDescent="0.15"/>
  <cols>
    <col min="1" max="1" width="95.5703125" bestFit="1" customWidth="1"/>
    <col min="2" max="2" width="2.85546875" customWidth="1"/>
    <col min="3" max="4" width="10.42578125" bestFit="1" customWidth="1"/>
    <col min="5" max="5" width="2" bestFit="1" customWidth="1"/>
    <col min="6" max="6" width="3" bestFit="1" customWidth="1"/>
    <col min="7" max="7" width="4" bestFit="1" customWidth="1"/>
  </cols>
  <sheetData>
    <row r="10" spans="1:8" ht="11.25" thickBot="1" x14ac:dyDescent="0.2">
      <c r="A10" s="2"/>
      <c r="B10" s="2"/>
      <c r="C10" s="2"/>
      <c r="D10" s="2"/>
      <c r="F10" s="2"/>
      <c r="G10" s="2"/>
      <c r="H10" s="2"/>
    </row>
    <row r="11" spans="1:8" ht="11.25" thickTop="1" x14ac:dyDescent="0.15">
      <c r="A11" s="47" t="s">
        <v>32</v>
      </c>
      <c r="B11" s="48"/>
      <c r="C11" s="49" t="s">
        <v>8</v>
      </c>
      <c r="D11" s="49" t="s">
        <v>9</v>
      </c>
      <c r="F11" s="78" t="s">
        <v>88</v>
      </c>
      <c r="G11" s="78"/>
      <c r="H11" s="78"/>
    </row>
    <row r="12" spans="1:8" x14ac:dyDescent="0.15">
      <c r="A12" s="46" t="s">
        <v>34</v>
      </c>
    </row>
    <row r="13" spans="1:8" x14ac:dyDescent="0.15">
      <c r="A13" s="3" t="s">
        <v>27</v>
      </c>
      <c r="C13" s="3">
        <v>10000</v>
      </c>
      <c r="D13" s="3">
        <f>C13*(1+5%)</f>
        <v>10500</v>
      </c>
      <c r="F13" s="19">
        <f>F73+1</f>
        <v>40</v>
      </c>
    </row>
    <row r="14" spans="1:8" x14ac:dyDescent="0.15">
      <c r="A14" s="3" t="s">
        <v>12</v>
      </c>
      <c r="C14" s="3"/>
      <c r="D14" s="3">
        <f>C19*2%</f>
        <v>14.4</v>
      </c>
      <c r="F14" s="19">
        <f>F27+1</f>
        <v>5</v>
      </c>
    </row>
    <row r="15" spans="1:8" x14ac:dyDescent="0.15">
      <c r="A15" s="3" t="s">
        <v>11</v>
      </c>
      <c r="C15" s="3"/>
      <c r="D15" s="3">
        <f>C21*6%</f>
        <v>431.99999999999994</v>
      </c>
      <c r="F15" s="19">
        <f>F26+1</f>
        <v>3</v>
      </c>
    </row>
    <row r="16" spans="1:8" x14ac:dyDescent="0.15">
      <c r="A16" s="3" t="s">
        <v>145</v>
      </c>
      <c r="D16" s="3">
        <f>D13*8%</f>
        <v>840</v>
      </c>
      <c r="F16" s="19">
        <v>1</v>
      </c>
    </row>
    <row r="17" spans="1:6" x14ac:dyDescent="0.15">
      <c r="A17" s="61" t="s">
        <v>13</v>
      </c>
      <c r="B17" s="7"/>
      <c r="C17" s="50"/>
      <c r="D17" s="50">
        <v>0.35</v>
      </c>
      <c r="F17" s="19">
        <f>F29+1</f>
        <v>8</v>
      </c>
    </row>
    <row r="18" spans="1:6" x14ac:dyDescent="0.15">
      <c r="A18" s="46" t="s">
        <v>35</v>
      </c>
      <c r="B18" s="46"/>
      <c r="C18" s="46"/>
      <c r="D18" s="46"/>
    </row>
    <row r="19" spans="1:6" x14ac:dyDescent="0.15">
      <c r="A19" s="29" t="s">
        <v>16</v>
      </c>
      <c r="C19" s="3">
        <f>C21*10%</f>
        <v>720</v>
      </c>
      <c r="D19" s="3">
        <f>D21*12%</f>
        <v>1001.52</v>
      </c>
      <c r="F19" s="19">
        <f>F39+1</f>
        <v>16</v>
      </c>
    </row>
    <row r="20" spans="1:6" x14ac:dyDescent="0.15">
      <c r="A20" s="4" t="s">
        <v>19</v>
      </c>
      <c r="C20" s="3">
        <f>SUM(C21:C22)*1.4</f>
        <v>18479.999999999996</v>
      </c>
      <c r="D20" s="3">
        <f>SUM(D21:D22)*1.3</f>
        <v>19195.8</v>
      </c>
      <c r="F20" s="19">
        <f>F42+1</f>
        <v>20</v>
      </c>
    </row>
    <row r="21" spans="1:6" x14ac:dyDescent="0.15">
      <c r="A21" s="4" t="s">
        <v>15</v>
      </c>
      <c r="C21" s="3">
        <f>C22*1.2</f>
        <v>7199.9999999999991</v>
      </c>
      <c r="D21" s="3">
        <f>D22*1.3</f>
        <v>8346</v>
      </c>
      <c r="F21" s="19">
        <f>F38+1</f>
        <v>14</v>
      </c>
    </row>
    <row r="22" spans="1:6" ht="11.25" thickBot="1" x14ac:dyDescent="0.2">
      <c r="A22" s="51" t="s">
        <v>144</v>
      </c>
      <c r="B22" s="2"/>
      <c r="C22" s="52">
        <f>D16/14%</f>
        <v>5999.9999999999991</v>
      </c>
      <c r="D22" s="52">
        <f>C22*(1+7%)</f>
        <v>6419.9999999999991</v>
      </c>
      <c r="F22" s="19">
        <f>F32+1</f>
        <v>12</v>
      </c>
    </row>
    <row r="23" spans="1:6" ht="11.25" thickTop="1" x14ac:dyDescent="0.15"/>
    <row r="24" spans="1:6" ht="11.25" thickBot="1" x14ac:dyDescent="0.2">
      <c r="A24" s="2"/>
      <c r="B24" s="2"/>
    </row>
    <row r="25" spans="1:6" ht="11.25" thickTop="1" x14ac:dyDescent="0.15">
      <c r="A25" s="28" t="s">
        <v>1</v>
      </c>
      <c r="B25" s="18"/>
      <c r="C25" s="17" t="s">
        <v>8</v>
      </c>
      <c r="D25" s="17" t="s">
        <v>9</v>
      </c>
    </row>
    <row r="26" spans="1:6" x14ac:dyDescent="0.15">
      <c r="A26" s="91" t="s">
        <v>10</v>
      </c>
      <c r="B26" s="20"/>
      <c r="C26" s="20"/>
      <c r="D26" s="6">
        <f>D16</f>
        <v>840</v>
      </c>
      <c r="F26" s="19">
        <f>F16+1</f>
        <v>2</v>
      </c>
    </row>
    <row r="27" spans="1:6" x14ac:dyDescent="0.15">
      <c r="A27" s="92" t="s">
        <v>33</v>
      </c>
      <c r="C27" s="3"/>
      <c r="D27" s="33">
        <f>D15</f>
        <v>431.99999999999994</v>
      </c>
      <c r="F27" s="19">
        <f>F15+1</f>
        <v>4</v>
      </c>
    </row>
    <row r="28" spans="1:6" x14ac:dyDescent="0.15">
      <c r="A28" s="96" t="s">
        <v>36</v>
      </c>
      <c r="C28" s="3"/>
      <c r="D28" s="33">
        <f>-D14</f>
        <v>-14.4</v>
      </c>
      <c r="F28" s="19">
        <f>F14+1</f>
        <v>6</v>
      </c>
    </row>
    <row r="29" spans="1:6" x14ac:dyDescent="0.15">
      <c r="A29" s="97" t="s">
        <v>90</v>
      </c>
      <c r="B29" s="87"/>
      <c r="C29" s="88"/>
      <c r="D29" s="89">
        <f>SUM(D27:D28)</f>
        <v>417.59999999999997</v>
      </c>
      <c r="F29" s="19">
        <f>F28+1</f>
        <v>7</v>
      </c>
    </row>
    <row r="30" spans="1:6" x14ac:dyDescent="0.15">
      <c r="A30" s="54" t="s">
        <v>106</v>
      </c>
      <c r="C30" s="14"/>
      <c r="D30" s="14">
        <f>-D29*D17</f>
        <v>-146.15999999999997</v>
      </c>
      <c r="F30" s="19">
        <f>F17+1</f>
        <v>9</v>
      </c>
    </row>
    <row r="31" spans="1:6" x14ac:dyDescent="0.15">
      <c r="A31" s="98" t="s">
        <v>31</v>
      </c>
      <c r="B31" s="7"/>
      <c r="C31" s="9"/>
      <c r="D31" s="6">
        <f>SUM(D29:D30)</f>
        <v>271.44</v>
      </c>
      <c r="F31" s="19">
        <f>F30+1</f>
        <v>10</v>
      </c>
    </row>
    <row r="32" spans="1:6" x14ac:dyDescent="0.15">
      <c r="A32" s="90" t="s">
        <v>107</v>
      </c>
      <c r="B32" s="11"/>
      <c r="C32" s="23"/>
      <c r="D32" s="14">
        <f>D26+D31</f>
        <v>1111.44</v>
      </c>
      <c r="F32" s="19">
        <f>F31+1</f>
        <v>11</v>
      </c>
    </row>
    <row r="33" spans="1:8" ht="11.25" thickBot="1" x14ac:dyDescent="0.2">
      <c r="A33" s="99" t="s">
        <v>14</v>
      </c>
      <c r="B33" s="2"/>
      <c r="C33" s="2"/>
      <c r="D33" s="2"/>
    </row>
    <row r="34" spans="1:8" s="33" customFormat="1" ht="11.25" thickTop="1" x14ac:dyDescent="0.15">
      <c r="A34" s="12"/>
      <c r="B34" s="11"/>
      <c r="C34" s="25"/>
      <c r="D34" s="25"/>
      <c r="F34"/>
      <c r="G34"/>
      <c r="H34"/>
    </row>
    <row r="35" spans="1:8" ht="11.25" thickBot="1" x14ac:dyDescent="0.2">
      <c r="A35" s="22"/>
      <c r="B35" s="11"/>
      <c r="C35" s="23"/>
      <c r="D35" s="23"/>
    </row>
    <row r="36" spans="1:8" ht="11.25" thickTop="1" x14ac:dyDescent="0.15">
      <c r="A36" s="79" t="s">
        <v>91</v>
      </c>
      <c r="B36" s="13"/>
      <c r="C36" s="83" t="str">
        <f>C25</f>
        <v>Year-1</v>
      </c>
      <c r="D36" s="83" t="str">
        <f>D25</f>
        <v>Year 0</v>
      </c>
    </row>
    <row r="37" spans="1:8" x14ac:dyDescent="0.15">
      <c r="A37" s="80" t="s">
        <v>96</v>
      </c>
    </row>
    <row r="38" spans="1:8" x14ac:dyDescent="0.15">
      <c r="A38" s="91" t="s">
        <v>18</v>
      </c>
      <c r="B38" s="7"/>
      <c r="C38" s="6">
        <f>C22</f>
        <v>5999.9999999999991</v>
      </c>
      <c r="D38" s="6">
        <f>D22</f>
        <v>6419.9999999999991</v>
      </c>
      <c r="F38" s="19">
        <f>F22+1</f>
        <v>13</v>
      </c>
    </row>
    <row r="39" spans="1:8" x14ac:dyDescent="0.15">
      <c r="A39" s="92" t="s">
        <v>15</v>
      </c>
      <c r="C39" s="33">
        <f>C21</f>
        <v>7199.9999999999991</v>
      </c>
      <c r="D39" s="33">
        <f>D21</f>
        <v>8346</v>
      </c>
      <c r="F39" s="19">
        <f>F21+1</f>
        <v>15</v>
      </c>
    </row>
    <row r="40" spans="1:8" x14ac:dyDescent="0.15">
      <c r="A40" s="93" t="s">
        <v>37</v>
      </c>
      <c r="B40" s="30"/>
      <c r="C40" s="14">
        <f>-C19</f>
        <v>-720</v>
      </c>
      <c r="D40" s="14">
        <f>-D19</f>
        <v>-1001.52</v>
      </c>
      <c r="F40" s="19">
        <f>F19+1</f>
        <v>17</v>
      </c>
    </row>
    <row r="41" spans="1:8" x14ac:dyDescent="0.15">
      <c r="A41" s="94" t="s">
        <v>17</v>
      </c>
      <c r="B41" s="7"/>
      <c r="C41" s="6">
        <f>SUM(C39:C40)</f>
        <v>6479.9999999999991</v>
      </c>
      <c r="D41" s="6">
        <f>SUM(D39:D40)</f>
        <v>7344.48</v>
      </c>
      <c r="F41" s="19">
        <f>F40+1</f>
        <v>18</v>
      </c>
    </row>
    <row r="42" spans="1:8" ht="11.25" thickBot="1" x14ac:dyDescent="0.2">
      <c r="A42" s="95" t="s">
        <v>97</v>
      </c>
      <c r="B42" s="2"/>
      <c r="C42" s="32">
        <f>C38+C41</f>
        <v>12479.999999999998</v>
      </c>
      <c r="D42" s="32">
        <f>D38+D41</f>
        <v>13764.48</v>
      </c>
      <c r="F42" s="19">
        <f>F41+1</f>
        <v>19</v>
      </c>
    </row>
    <row r="43" spans="1:8" ht="12" thickTop="1" thickBot="1" x14ac:dyDescent="0.2">
      <c r="A43" s="34"/>
      <c r="B43" s="16"/>
      <c r="C43" s="57"/>
      <c r="D43" s="57"/>
    </row>
    <row r="44" spans="1:8" ht="11.25" thickTop="1" x14ac:dyDescent="0.15">
      <c r="A44" s="100" t="s">
        <v>92</v>
      </c>
      <c r="C44" s="33"/>
      <c r="D44" s="33"/>
    </row>
    <row r="45" spans="1:8" x14ac:dyDescent="0.15">
      <c r="A45" s="92" t="s">
        <v>19</v>
      </c>
      <c r="C45" s="33">
        <f>C20</f>
        <v>18479.999999999996</v>
      </c>
      <c r="D45" s="33">
        <f>D20</f>
        <v>19195.8</v>
      </c>
      <c r="F45" s="19">
        <f>F20+1</f>
        <v>21</v>
      </c>
    </row>
    <row r="46" spans="1:8" x14ac:dyDescent="0.15">
      <c r="A46" s="92" t="str">
        <f>A40</f>
        <v>Less: Financial assets: Current and non-current [FA]</v>
      </c>
      <c r="C46" s="33">
        <f>C40</f>
        <v>-720</v>
      </c>
      <c r="D46" s="33">
        <f>D40</f>
        <v>-1001.52</v>
      </c>
      <c r="F46" s="19">
        <f t="shared" ref="F46:F52" si="0">F45+1</f>
        <v>22</v>
      </c>
    </row>
    <row r="47" spans="1:8" x14ac:dyDescent="0.15">
      <c r="A47" s="94" t="s">
        <v>20</v>
      </c>
      <c r="B47" s="20"/>
      <c r="C47" s="6">
        <f>SUM(C45:C46)</f>
        <v>17759.999999999996</v>
      </c>
      <c r="D47" s="6">
        <f>SUM(D45:D46)</f>
        <v>18194.28</v>
      </c>
      <c r="F47" s="19">
        <f t="shared" si="0"/>
        <v>23</v>
      </c>
    </row>
    <row r="48" spans="1:8" x14ac:dyDescent="0.15">
      <c r="A48" s="92" t="s">
        <v>21</v>
      </c>
      <c r="B48" s="3"/>
      <c r="C48" s="33">
        <f>C45-C38</f>
        <v>12479.999999999996</v>
      </c>
      <c r="D48" s="33">
        <f>D45-D38</f>
        <v>12775.8</v>
      </c>
      <c r="F48" s="19">
        <f t="shared" si="0"/>
        <v>24</v>
      </c>
    </row>
    <row r="49" spans="1:6" x14ac:dyDescent="0.15">
      <c r="A49" s="92" t="s">
        <v>38</v>
      </c>
      <c r="C49" s="33">
        <f>-C39</f>
        <v>-7199.9999999999991</v>
      </c>
      <c r="D49" s="33">
        <f>-D39</f>
        <v>-8346</v>
      </c>
      <c r="F49" s="19">
        <f t="shared" si="0"/>
        <v>25</v>
      </c>
    </row>
    <row r="50" spans="1:6" x14ac:dyDescent="0.15">
      <c r="A50" s="94" t="s">
        <v>22</v>
      </c>
      <c r="B50" s="7"/>
      <c r="C50" s="6">
        <f>SUM(C48:C49)</f>
        <v>5279.9999999999973</v>
      </c>
      <c r="D50" s="6">
        <f>SUM(D48:D49)</f>
        <v>4429.7999999999993</v>
      </c>
      <c r="F50" s="19">
        <f t="shared" si="0"/>
        <v>26</v>
      </c>
    </row>
    <row r="51" spans="1:6" ht="11.25" thickBot="1" x14ac:dyDescent="0.2">
      <c r="A51" s="101" t="s">
        <v>23</v>
      </c>
      <c r="B51" s="8"/>
      <c r="C51" s="44">
        <f>C47-C50</f>
        <v>12480</v>
      </c>
      <c r="D51" s="44">
        <f>D47-D50</f>
        <v>13764.48</v>
      </c>
      <c r="F51" s="19">
        <f t="shared" si="0"/>
        <v>27</v>
      </c>
    </row>
    <row r="52" spans="1:6" ht="12" thickTop="1" thickBot="1" x14ac:dyDescent="0.2">
      <c r="A52" s="102" t="s">
        <v>93</v>
      </c>
      <c r="B52" s="16"/>
      <c r="C52" s="21">
        <f>C51-C42</f>
        <v>0</v>
      </c>
      <c r="D52" s="21">
        <f>D51-D42</f>
        <v>0</v>
      </c>
      <c r="F52" s="19">
        <f t="shared" si="0"/>
        <v>28</v>
      </c>
    </row>
    <row r="53" spans="1:6" ht="11.25" thickTop="1" x14ac:dyDescent="0.15">
      <c r="A53" s="26"/>
      <c r="B53" s="26"/>
      <c r="C53" s="27"/>
      <c r="D53" s="27"/>
    </row>
    <row r="54" spans="1:6" ht="11.25" thickBot="1" x14ac:dyDescent="0.2">
      <c r="A54" s="2"/>
      <c r="B54" s="2"/>
      <c r="C54" s="24"/>
      <c r="D54" s="24"/>
    </row>
    <row r="55" spans="1:6" ht="11.25" thickTop="1" x14ac:dyDescent="0.15">
      <c r="A55" s="43" t="s">
        <v>0</v>
      </c>
      <c r="B55" s="18"/>
      <c r="C55" s="39"/>
      <c r="D55" s="39" t="str">
        <f>D25</f>
        <v>Year 0</v>
      </c>
    </row>
    <row r="56" spans="1:6" x14ac:dyDescent="0.15">
      <c r="A56" s="92" t="s">
        <v>43</v>
      </c>
      <c r="C56" s="5"/>
      <c r="D56" s="33">
        <f>D32</f>
        <v>1111.44</v>
      </c>
      <c r="F56" s="19">
        <f>F52+1</f>
        <v>29</v>
      </c>
    </row>
    <row r="57" spans="1:6" x14ac:dyDescent="0.15">
      <c r="A57" s="92" t="s">
        <v>51</v>
      </c>
      <c r="C57" s="5"/>
      <c r="D57" s="33">
        <f>-(D51-C51)</f>
        <v>-1284.4799999999996</v>
      </c>
      <c r="F57" s="19">
        <f>F56+1</f>
        <v>30</v>
      </c>
    </row>
    <row r="58" spans="1:6" ht="11.25" thickBot="1" x14ac:dyDescent="0.2">
      <c r="A58" s="103" t="s">
        <v>24</v>
      </c>
      <c r="B58" s="2"/>
      <c r="C58" s="10"/>
      <c r="D58" s="32">
        <f>SUM(D56:D57)</f>
        <v>-173.03999999999951</v>
      </c>
      <c r="F58" s="19">
        <f>F57+1</f>
        <v>31</v>
      </c>
    </row>
    <row r="59" spans="1:6" ht="12" thickTop="1" thickBot="1" x14ac:dyDescent="0.2">
      <c r="A59" s="104"/>
      <c r="B59" s="16"/>
      <c r="C59" s="31"/>
      <c r="D59" s="57"/>
    </row>
    <row r="60" spans="1:6" ht="11.25" thickTop="1" x14ac:dyDescent="0.15">
      <c r="A60" s="105" t="s">
        <v>45</v>
      </c>
      <c r="B60" s="11"/>
      <c r="C60" s="23"/>
      <c r="D60" s="14"/>
    </row>
    <row r="61" spans="1:6" x14ac:dyDescent="0.15">
      <c r="A61" s="106" t="s">
        <v>26</v>
      </c>
      <c r="C61" s="5"/>
      <c r="D61" s="33">
        <f>-D31</f>
        <v>-271.44</v>
      </c>
      <c r="F61" s="19">
        <f>F58+1</f>
        <v>32</v>
      </c>
    </row>
    <row r="62" spans="1:6" x14ac:dyDescent="0.15">
      <c r="A62" s="106" t="s">
        <v>25</v>
      </c>
      <c r="C62" s="5"/>
      <c r="D62" s="33">
        <f>D41-C41</f>
        <v>864.48000000000047</v>
      </c>
      <c r="F62" s="19">
        <f>F61+1</f>
        <v>33</v>
      </c>
    </row>
    <row r="63" spans="1:6" x14ac:dyDescent="0.15">
      <c r="A63" s="92" t="s">
        <v>50</v>
      </c>
      <c r="C63" s="5"/>
      <c r="D63" s="33">
        <f>(D38-C38)-D26</f>
        <v>-420</v>
      </c>
      <c r="F63" s="19">
        <f>F62+1</f>
        <v>34</v>
      </c>
    </row>
    <row r="64" spans="1:6" x14ac:dyDescent="0.15">
      <c r="A64" s="94" t="s">
        <v>44</v>
      </c>
      <c r="B64" s="7"/>
      <c r="C64" s="9"/>
      <c r="D64" s="6">
        <f>SUM(D61:D63)</f>
        <v>173.04000000000042</v>
      </c>
      <c r="F64" s="19">
        <f>F63+1</f>
        <v>35</v>
      </c>
    </row>
    <row r="65" spans="1:6" ht="11.25" thickBot="1" x14ac:dyDescent="0.2">
      <c r="A65" s="107" t="s">
        <v>3</v>
      </c>
      <c r="B65" s="8"/>
      <c r="C65" s="15"/>
      <c r="D65" s="15">
        <f>D58+D64</f>
        <v>9.0949470177292824E-13</v>
      </c>
      <c r="F65" s="19">
        <f>F64+1</f>
        <v>36</v>
      </c>
    </row>
    <row r="66" spans="1:6" ht="11.25" thickTop="1" x14ac:dyDescent="0.15">
      <c r="A66" s="11"/>
      <c r="B66" s="11"/>
      <c r="C66" s="25"/>
      <c r="D66" s="25"/>
    </row>
    <row r="67" spans="1:6" x14ac:dyDescent="0.15">
      <c r="A67" s="11"/>
      <c r="B67" s="11"/>
      <c r="C67" s="25"/>
      <c r="D67" s="25"/>
    </row>
    <row r="68" spans="1:6" ht="11.25" thickBot="1" x14ac:dyDescent="0.2">
      <c r="A68" s="66" t="s">
        <v>130</v>
      </c>
      <c r="B68" s="40"/>
      <c r="C68" s="40"/>
      <c r="D68" s="40"/>
    </row>
    <row r="69" spans="1:6" ht="11.25" thickTop="1" x14ac:dyDescent="0.15">
      <c r="A69" s="116" t="s">
        <v>132</v>
      </c>
      <c r="B69" s="117"/>
      <c r="C69" s="117"/>
      <c r="D69" s="117"/>
    </row>
    <row r="70" spans="1:6" x14ac:dyDescent="0.15">
      <c r="A70" t="s">
        <v>133</v>
      </c>
      <c r="D70" s="112">
        <f>D13/C13-1</f>
        <v>5.0000000000000044E-2</v>
      </c>
      <c r="F70" s="19">
        <f>F65+1</f>
        <v>37</v>
      </c>
    </row>
    <row r="71" spans="1:6" ht="14.25" x14ac:dyDescent="0.25">
      <c r="A71" s="137" t="s">
        <v>135</v>
      </c>
      <c r="D71" s="112">
        <f>(D51/C51-1)</f>
        <v>0.10292307692307689</v>
      </c>
      <c r="F71" s="19">
        <f>F70+1</f>
        <v>38</v>
      </c>
    </row>
    <row r="72" spans="1:6" x14ac:dyDescent="0.15">
      <c r="A72" s="43" t="s">
        <v>131</v>
      </c>
      <c r="B72" s="41"/>
      <c r="C72" s="43"/>
      <c r="D72" s="84" t="str">
        <f>D36</f>
        <v>Year 0</v>
      </c>
    </row>
    <row r="73" spans="1:6" x14ac:dyDescent="0.15">
      <c r="A73" s="73" t="s">
        <v>94</v>
      </c>
      <c r="B73" s="7"/>
      <c r="C73" s="7"/>
      <c r="D73" s="58">
        <f>D32/C42</f>
        <v>8.9057692307692324E-2</v>
      </c>
      <c r="F73" s="19">
        <f>F71+1</f>
        <v>39</v>
      </c>
    </row>
    <row r="74" spans="1:6" x14ac:dyDescent="0.15">
      <c r="A74" s="33" t="s">
        <v>27</v>
      </c>
      <c r="B74" s="33"/>
      <c r="C74" s="33"/>
      <c r="D74" s="33">
        <f>D13</f>
        <v>10500</v>
      </c>
      <c r="F74" s="19">
        <f>F13+1</f>
        <v>41</v>
      </c>
    </row>
    <row r="75" spans="1:6" x14ac:dyDescent="0.15">
      <c r="A75" s="33" t="s">
        <v>29</v>
      </c>
      <c r="D75" s="37">
        <f>D32/D13</f>
        <v>0.10585142857142858</v>
      </c>
      <c r="F75" s="19">
        <f>F74+1</f>
        <v>42</v>
      </c>
    </row>
    <row r="76" spans="1:6" x14ac:dyDescent="0.15">
      <c r="A76" s="33" t="s">
        <v>30</v>
      </c>
      <c r="D76" s="42">
        <f>D13/C51</f>
        <v>0.84134615384615385</v>
      </c>
      <c r="F76" s="19">
        <f>F75+1</f>
        <v>43</v>
      </c>
    </row>
    <row r="77" spans="1:6" x14ac:dyDescent="0.15">
      <c r="A77" s="6" t="s">
        <v>48</v>
      </c>
      <c r="B77" s="7"/>
      <c r="C77" s="7"/>
      <c r="D77" s="58">
        <f>D75*D76</f>
        <v>8.9057692307692324E-2</v>
      </c>
      <c r="F77" s="19">
        <f>F76+1</f>
        <v>44</v>
      </c>
    </row>
    <row r="78" spans="1:6" ht="11.25" thickBot="1" x14ac:dyDescent="0.2">
      <c r="A78" s="32" t="s">
        <v>42</v>
      </c>
      <c r="B78" s="2"/>
      <c r="C78" s="2"/>
      <c r="D78" s="24">
        <f>D73-D77</f>
        <v>0</v>
      </c>
      <c r="F78" s="19">
        <f>F77+1</f>
        <v>45</v>
      </c>
    </row>
    <row r="79" spans="1:6" ht="11.25" thickTop="1" x14ac:dyDescent="0.15">
      <c r="A79" s="14"/>
      <c r="B79" s="11"/>
      <c r="C79" s="11"/>
      <c r="D79" s="25"/>
    </row>
    <row r="80" spans="1:6" x14ac:dyDescent="0.15">
      <c r="A80" s="14"/>
      <c r="B80" s="11"/>
      <c r="C80" s="11"/>
      <c r="D80" s="25"/>
    </row>
    <row r="82" spans="1:6" ht="11.25" thickBot="1" x14ac:dyDescent="0.2">
      <c r="A82" s="2"/>
      <c r="B82" s="2"/>
      <c r="C82" s="2"/>
      <c r="D82" s="2"/>
    </row>
    <row r="83" spans="1:6" ht="11.25" thickTop="1" x14ac:dyDescent="0.15">
      <c r="A83" s="43" t="s">
        <v>6</v>
      </c>
      <c r="B83" s="38"/>
      <c r="C83" s="18"/>
      <c r="D83" s="39" t="str">
        <f>D72</f>
        <v>Year 0</v>
      </c>
    </row>
    <row r="84" spans="1:6" x14ac:dyDescent="0.15">
      <c r="A84" s="91" t="s">
        <v>40</v>
      </c>
      <c r="B84" s="6"/>
      <c r="C84" s="6"/>
      <c r="D84" s="58">
        <f>D58/C51</f>
        <v>-1.3865384615384576E-2</v>
      </c>
      <c r="F84" s="19">
        <f>F78+1</f>
        <v>46</v>
      </c>
    </row>
    <row r="85" spans="1:6" x14ac:dyDescent="0.15">
      <c r="A85" s="108" t="s">
        <v>28</v>
      </c>
      <c r="D85" s="37">
        <f>D73</f>
        <v>8.9057692307692324E-2</v>
      </c>
      <c r="F85" s="19">
        <f>F84+1</f>
        <v>47</v>
      </c>
    </row>
    <row r="86" spans="1:6" ht="14.25" x14ac:dyDescent="0.25">
      <c r="A86" s="137" t="s">
        <v>134</v>
      </c>
      <c r="D86" s="37">
        <f>-D71</f>
        <v>-0.10292307692307689</v>
      </c>
      <c r="F86" s="19">
        <f>F85+1</f>
        <v>48</v>
      </c>
    </row>
    <row r="87" spans="1:6" x14ac:dyDescent="0.15">
      <c r="A87" s="109" t="s">
        <v>39</v>
      </c>
      <c r="B87" s="7"/>
      <c r="C87" s="7"/>
      <c r="D87" s="58">
        <f>SUM(D85:D86)</f>
        <v>-1.3865384615384571E-2</v>
      </c>
      <c r="F87" s="19">
        <f>F86+1</f>
        <v>49</v>
      </c>
    </row>
    <row r="88" spans="1:6" ht="11.25" thickBot="1" x14ac:dyDescent="0.2">
      <c r="A88" s="110" t="s">
        <v>41</v>
      </c>
      <c r="B88" s="2"/>
      <c r="C88" s="2"/>
      <c r="D88" s="24">
        <f>D58/C51-D87</f>
        <v>0</v>
      </c>
      <c r="F88" s="19">
        <f>F87+1</f>
        <v>50</v>
      </c>
    </row>
    <row r="89" spans="1:6" ht="11.25" thickTop="1" x14ac:dyDescent="0.15">
      <c r="A89" s="14"/>
      <c r="B89" s="11"/>
      <c r="C89" s="11"/>
      <c r="D89" s="25"/>
    </row>
    <row r="90" spans="1:6" x14ac:dyDescent="0.15">
      <c r="A90" s="11"/>
      <c r="B90" s="11"/>
      <c r="C90" s="25"/>
      <c r="D90" s="25"/>
    </row>
    <row r="91" spans="1:6" ht="11.25" thickBot="1" x14ac:dyDescent="0.2">
      <c r="A91" s="66" t="s">
        <v>104</v>
      </c>
      <c r="B91" s="40"/>
      <c r="C91" s="40"/>
      <c r="D91" s="40"/>
    </row>
    <row r="92" spans="1:6" ht="11.25" thickTop="1" x14ac:dyDescent="0.15">
      <c r="A92" s="43" t="s">
        <v>4</v>
      </c>
      <c r="B92" s="18"/>
      <c r="C92" s="18"/>
      <c r="D92" s="39" t="str">
        <f>D83</f>
        <v>Year 0</v>
      </c>
    </row>
    <row r="93" spans="1:6" x14ac:dyDescent="0.15">
      <c r="A93" s="111" t="s">
        <v>49</v>
      </c>
      <c r="B93" s="7"/>
      <c r="C93" s="7"/>
      <c r="D93" s="58">
        <f>D26/C38</f>
        <v>0.14000000000000001</v>
      </c>
      <c r="F93" s="19">
        <f>F88+1</f>
        <v>51</v>
      </c>
    </row>
    <row r="94" spans="1:6" x14ac:dyDescent="0.15">
      <c r="A94" s="92" t="s">
        <v>64</v>
      </c>
      <c r="D94" s="37">
        <f>D31/C41</f>
        <v>4.1888888888888892E-2</v>
      </c>
      <c r="F94" s="19">
        <f>F93+1</f>
        <v>52</v>
      </c>
    </row>
    <row r="95" spans="1:6" x14ac:dyDescent="0.15">
      <c r="A95" s="92" t="s">
        <v>63</v>
      </c>
      <c r="D95" s="37">
        <f>D73-D94</f>
        <v>4.7168803418803432E-2</v>
      </c>
      <c r="F95" s="19">
        <f>F94+1</f>
        <v>53</v>
      </c>
    </row>
    <row r="96" spans="1:6" x14ac:dyDescent="0.15">
      <c r="A96" s="92" t="s">
        <v>46</v>
      </c>
      <c r="D96" s="37">
        <f>C41/C38</f>
        <v>1.08</v>
      </c>
      <c r="F96" s="19">
        <f>F95+1</f>
        <v>54</v>
      </c>
    </row>
    <row r="97" spans="1:6" x14ac:dyDescent="0.15">
      <c r="A97" s="91" t="s">
        <v>47</v>
      </c>
      <c r="B97" s="7"/>
      <c r="C97" s="7"/>
      <c r="D97" s="58">
        <f>D73+D95*D96</f>
        <v>0.14000000000000004</v>
      </c>
      <c r="F97" s="19">
        <f>F96+1</f>
        <v>55</v>
      </c>
    </row>
    <row r="98" spans="1:6" ht="11.25" thickBot="1" x14ac:dyDescent="0.2">
      <c r="A98" s="110" t="s">
        <v>2</v>
      </c>
      <c r="B98" s="2"/>
      <c r="C98" s="2"/>
      <c r="D98" s="24">
        <f>D93-D97</f>
        <v>0</v>
      </c>
      <c r="F98" s="19">
        <f>F97+1</f>
        <v>56</v>
      </c>
    </row>
    <row r="99" spans="1:6" ht="11.25" thickTop="1" x14ac:dyDescent="0.15">
      <c r="A99" s="28" t="s">
        <v>89</v>
      </c>
      <c r="B99" s="18"/>
      <c r="C99" s="18"/>
      <c r="D99" s="85" t="str">
        <f>D92</f>
        <v>Year 0</v>
      </c>
    </row>
    <row r="100" spans="1:6" ht="14.25" outlineLevel="1" x14ac:dyDescent="0.25">
      <c r="A100" s="55" t="s">
        <v>100</v>
      </c>
      <c r="D100" s="37">
        <f>D15*(1-D17)/C21</f>
        <v>3.9E-2</v>
      </c>
      <c r="F100" s="19">
        <f>F98+1</f>
        <v>57</v>
      </c>
    </row>
    <row r="101" spans="1:6" outlineLevel="1" x14ac:dyDescent="0.15">
      <c r="A101" s="55" t="s">
        <v>79</v>
      </c>
      <c r="D101" s="42">
        <f>C21/C22</f>
        <v>1.2</v>
      </c>
      <c r="F101" s="19">
        <f t="shared" ref="F101:F106" si="1">F100+1</f>
        <v>58</v>
      </c>
    </row>
    <row r="102" spans="1:6" ht="14.25" outlineLevel="1" x14ac:dyDescent="0.25">
      <c r="A102" s="74" t="s">
        <v>99</v>
      </c>
      <c r="B102" s="7"/>
      <c r="C102" s="7"/>
      <c r="D102" s="58">
        <f>(D73-D100)*D101</f>
        <v>6.0069230769230784E-2</v>
      </c>
      <c r="F102" s="19">
        <f t="shared" si="1"/>
        <v>59</v>
      </c>
    </row>
    <row r="103" spans="1:6" ht="14.25" outlineLevel="1" x14ac:dyDescent="0.25">
      <c r="A103" s="55" t="s">
        <v>102</v>
      </c>
      <c r="D103" s="37">
        <f>D14*(1-D17)/C19</f>
        <v>1.3000000000000001E-2</v>
      </c>
      <c r="F103" s="19">
        <f t="shared" si="1"/>
        <v>60</v>
      </c>
    </row>
    <row r="104" spans="1:6" outlineLevel="1" x14ac:dyDescent="0.15">
      <c r="A104" s="55" t="s">
        <v>87</v>
      </c>
      <c r="D104" s="42">
        <f>C19/C22</f>
        <v>0.12000000000000002</v>
      </c>
      <c r="F104" s="19">
        <f t="shared" si="1"/>
        <v>61</v>
      </c>
    </row>
    <row r="105" spans="1:6" ht="14.25" outlineLevel="1" x14ac:dyDescent="0.25">
      <c r="A105" s="74" t="s">
        <v>101</v>
      </c>
      <c r="B105" s="7"/>
      <c r="C105" s="7"/>
      <c r="D105" s="58">
        <f>-(D73-D103)*D104</f>
        <v>-9.1269230769230811E-3</v>
      </c>
      <c r="F105" s="19">
        <f t="shared" si="1"/>
        <v>62</v>
      </c>
    </row>
    <row r="106" spans="1:6" ht="15" outlineLevel="1" thickBot="1" x14ac:dyDescent="0.3">
      <c r="A106" s="36" t="s">
        <v>103</v>
      </c>
      <c r="B106" s="2"/>
      <c r="C106" s="2"/>
      <c r="D106" s="75">
        <f>D73+D102+D105</f>
        <v>0.14000000000000001</v>
      </c>
      <c r="F106" s="81">
        <f t="shared" si="1"/>
        <v>63</v>
      </c>
    </row>
    <row r="107" spans="1:6" ht="11.25" thickTop="1" x14ac:dyDescent="0.15"/>
    <row r="108" spans="1:6" ht="11.25" thickBot="1" x14ac:dyDescent="0.2">
      <c r="A108" s="77" t="s">
        <v>105</v>
      </c>
      <c r="B108" s="59"/>
      <c r="C108" s="59"/>
      <c r="D108" s="59"/>
    </row>
    <row r="109" spans="1:6" ht="11.25" thickTop="1" x14ac:dyDescent="0.15">
      <c r="A109" s="76" t="s">
        <v>80</v>
      </c>
      <c r="B109" s="48"/>
      <c r="C109" s="48"/>
      <c r="D109" s="86" t="str">
        <f>D99</f>
        <v>Year 0</v>
      </c>
    </row>
    <row r="110" spans="1:6" x14ac:dyDescent="0.15">
      <c r="A110" s="29" t="s">
        <v>81</v>
      </c>
      <c r="B110" s="11"/>
      <c r="C110" s="11"/>
      <c r="D110" s="30">
        <f>D16*1.45</f>
        <v>1218</v>
      </c>
    </row>
    <row r="111" spans="1:6" x14ac:dyDescent="0.15">
      <c r="A111" s="29" t="s">
        <v>82</v>
      </c>
      <c r="B111" s="11"/>
      <c r="C111" s="23"/>
      <c r="D111" s="30">
        <f>C19*2%</f>
        <v>14.4</v>
      </c>
    </row>
    <row r="112" spans="1:6" ht="11.25" thickBot="1" x14ac:dyDescent="0.2">
      <c r="A112" s="51" t="s">
        <v>83</v>
      </c>
      <c r="B112" s="2"/>
      <c r="C112" s="10"/>
      <c r="D112" s="52">
        <f>D111*1.5</f>
        <v>21.6</v>
      </c>
    </row>
    <row r="113" spans="1:4" ht="11.25" thickTop="1" x14ac:dyDescent="0.15"/>
    <row r="114" spans="1:4" ht="11.25" thickBot="1" x14ac:dyDescent="0.2">
      <c r="A114" s="2"/>
      <c r="B114" s="2"/>
      <c r="C114" s="2"/>
      <c r="D114" s="2"/>
    </row>
    <row r="115" spans="1:4" ht="11.25" thickTop="1" x14ac:dyDescent="0.15">
      <c r="A115" s="72" t="s">
        <v>72</v>
      </c>
      <c r="B115" s="18"/>
      <c r="C115" s="18"/>
      <c r="D115" s="85" t="str">
        <f>D109</f>
        <v>Year 0</v>
      </c>
    </row>
    <row r="116" spans="1:4" x14ac:dyDescent="0.15">
      <c r="A116" s="7" t="s">
        <v>84</v>
      </c>
      <c r="B116" s="7"/>
      <c r="C116" s="7"/>
      <c r="D116" s="6">
        <f>SUM(D111:D112)</f>
        <v>36</v>
      </c>
    </row>
    <row r="117" spans="1:4" x14ac:dyDescent="0.15">
      <c r="A117" t="s">
        <v>73</v>
      </c>
      <c r="D117" s="1">
        <f>D110</f>
        <v>1218</v>
      </c>
    </row>
    <row r="118" spans="1:4" x14ac:dyDescent="0.15">
      <c r="A118" t="s">
        <v>85</v>
      </c>
      <c r="D118" s="33">
        <f>-D16</f>
        <v>-840</v>
      </c>
    </row>
    <row r="119" spans="1:4" x14ac:dyDescent="0.15">
      <c r="A119" s="69" t="s">
        <v>86</v>
      </c>
      <c r="B119" s="11"/>
      <c r="C119" s="11"/>
      <c r="D119" s="14">
        <f>SUM(D117:D118)</f>
        <v>378</v>
      </c>
    </row>
    <row r="120" spans="1:4" x14ac:dyDescent="0.15">
      <c r="A120" s="55" t="s">
        <v>70</v>
      </c>
      <c r="D120" s="33">
        <f>-D116</f>
        <v>-36</v>
      </c>
    </row>
    <row r="121" spans="1:4" ht="11.25" thickBot="1" x14ac:dyDescent="0.2">
      <c r="A121" s="70" t="s">
        <v>71</v>
      </c>
      <c r="B121" s="2"/>
      <c r="C121" s="2"/>
      <c r="D121" s="32">
        <f>SUM(D119:D120)</f>
        <v>342</v>
      </c>
    </row>
    <row r="122" spans="1:4" ht="11.25" thickTop="1" x14ac:dyDescent="0.15">
      <c r="A122" s="69"/>
      <c r="B122" s="11"/>
      <c r="C122" s="11"/>
      <c r="D122" s="14"/>
    </row>
    <row r="123" spans="1:4" ht="11.25" thickBot="1" x14ac:dyDescent="0.2">
      <c r="A123" s="2"/>
      <c r="B123" s="2"/>
      <c r="C123" s="2"/>
      <c r="D123" s="2"/>
    </row>
    <row r="124" spans="1:4" ht="11.25" thickTop="1" x14ac:dyDescent="0.15">
      <c r="A124" s="60" t="s">
        <v>53</v>
      </c>
      <c r="B124" s="60"/>
      <c r="C124" s="60"/>
      <c r="D124" s="85" t="str">
        <f>D115</f>
        <v>Year 0</v>
      </c>
    </row>
    <row r="125" spans="1:4" x14ac:dyDescent="0.15">
      <c r="A125" s="67" t="s">
        <v>43</v>
      </c>
      <c r="D125" s="33">
        <f>D32</f>
        <v>1111.44</v>
      </c>
    </row>
    <row r="126" spans="1:4" x14ac:dyDescent="0.15">
      <c r="A126" s="65" t="s">
        <v>52</v>
      </c>
      <c r="D126" s="33">
        <f>D121</f>
        <v>342</v>
      </c>
    </row>
    <row r="127" spans="1:4" x14ac:dyDescent="0.15">
      <c r="A127" s="68" t="s">
        <v>68</v>
      </c>
      <c r="B127" s="7"/>
      <c r="C127" s="7"/>
      <c r="D127" s="6">
        <f>SUM(D125:D126)</f>
        <v>1453.44</v>
      </c>
    </row>
    <row r="128" spans="1:4" x14ac:dyDescent="0.15">
      <c r="A128" s="33" t="s">
        <v>55</v>
      </c>
      <c r="D128" s="33">
        <f>D31</f>
        <v>271.44</v>
      </c>
    </row>
    <row r="129" spans="1:4" x14ac:dyDescent="0.15">
      <c r="A129" s="65" t="s">
        <v>54</v>
      </c>
      <c r="D129" s="14">
        <f>-D116</f>
        <v>-36</v>
      </c>
    </row>
    <row r="130" spans="1:4" ht="11.25" thickBot="1" x14ac:dyDescent="0.2">
      <c r="A130" s="71" t="s">
        <v>56</v>
      </c>
      <c r="B130" s="2"/>
      <c r="C130" s="2"/>
      <c r="D130" s="32">
        <f>SUM(D128:D129)</f>
        <v>235.44</v>
      </c>
    </row>
    <row r="131" spans="1:4" ht="12" thickTop="1" thickBot="1" x14ac:dyDescent="0.2">
      <c r="A131" s="36" t="s">
        <v>74</v>
      </c>
      <c r="B131" s="2"/>
      <c r="C131" s="8"/>
      <c r="D131" s="15">
        <f>D117-(D127-D130)</f>
        <v>0</v>
      </c>
    </row>
    <row r="132" spans="1:4" ht="11.25" thickTop="1" x14ac:dyDescent="0.15"/>
    <row r="133" spans="1:4" ht="11.25" thickBot="1" x14ac:dyDescent="0.2">
      <c r="A133" s="2"/>
      <c r="B133" s="2"/>
      <c r="C133" s="2"/>
      <c r="D133" s="2"/>
    </row>
    <row r="134" spans="1:4" ht="11.25" thickTop="1" x14ac:dyDescent="0.15">
      <c r="A134" s="43" t="s">
        <v>57</v>
      </c>
      <c r="B134" s="18"/>
      <c r="C134" s="39"/>
      <c r="D134" s="39" t="str">
        <f>D72</f>
        <v>Year 0</v>
      </c>
    </row>
    <row r="135" spans="1:4" x14ac:dyDescent="0.15">
      <c r="A135" s="33" t="s">
        <v>58</v>
      </c>
      <c r="C135" s="5"/>
      <c r="D135" s="33">
        <f>D127</f>
        <v>1453.44</v>
      </c>
    </row>
    <row r="136" spans="1:4" x14ac:dyDescent="0.15">
      <c r="A136" s="33" t="s">
        <v>51</v>
      </c>
      <c r="C136" s="5"/>
      <c r="D136" s="33">
        <f>D57</f>
        <v>-1284.4799999999996</v>
      </c>
    </row>
    <row r="137" spans="1:4" ht="11.25" thickBot="1" x14ac:dyDescent="0.2">
      <c r="A137" s="63" t="s">
        <v>59</v>
      </c>
      <c r="B137" s="2"/>
      <c r="C137" s="10"/>
      <c r="D137" s="32">
        <f>SUM(D135:D136)</f>
        <v>168.96000000000049</v>
      </c>
    </row>
    <row r="138" spans="1:4" ht="12" thickTop="1" thickBot="1" x14ac:dyDescent="0.2">
      <c r="A138" s="35"/>
      <c r="B138" s="16"/>
      <c r="C138" s="31"/>
      <c r="D138" s="57"/>
    </row>
    <row r="139" spans="1:4" ht="11.25" thickTop="1" x14ac:dyDescent="0.15">
      <c r="A139" s="64" t="s">
        <v>45</v>
      </c>
      <c r="B139" s="11"/>
      <c r="C139" s="23"/>
      <c r="D139" s="14"/>
    </row>
    <row r="140" spans="1:4" x14ac:dyDescent="0.15">
      <c r="A140" s="65" t="s">
        <v>60</v>
      </c>
      <c r="C140" s="5"/>
      <c r="D140" s="33">
        <f>-D130</f>
        <v>-235.44</v>
      </c>
    </row>
    <row r="141" spans="1:4" x14ac:dyDescent="0.15">
      <c r="A141" s="65" t="s">
        <v>25</v>
      </c>
      <c r="C141" s="5"/>
      <c r="D141" s="33">
        <f>D62</f>
        <v>864.48000000000047</v>
      </c>
    </row>
    <row r="142" spans="1:4" x14ac:dyDescent="0.15">
      <c r="A142" s="33" t="s">
        <v>61</v>
      </c>
      <c r="C142" s="5"/>
      <c r="D142" s="33">
        <f>(D38-C38)-D117</f>
        <v>-798</v>
      </c>
    </row>
    <row r="143" spans="1:4" x14ac:dyDescent="0.15">
      <c r="A143" s="62" t="s">
        <v>69</v>
      </c>
      <c r="B143" s="7"/>
      <c r="C143" s="9"/>
      <c r="D143" s="6">
        <f>SUM(D140:D142)</f>
        <v>-168.95999999999958</v>
      </c>
    </row>
    <row r="144" spans="1:4" ht="11.25" thickBot="1" x14ac:dyDescent="0.2">
      <c r="A144" s="44" t="s">
        <v>3</v>
      </c>
      <c r="B144" s="8"/>
      <c r="C144" s="15"/>
      <c r="D144" s="15">
        <f>D137+D143</f>
        <v>9.0949470177292824E-13</v>
      </c>
    </row>
    <row r="145" spans="1:4" ht="11.25" thickTop="1" x14ac:dyDescent="0.15"/>
    <row r="146" spans="1:4" ht="11.25" thickBot="1" x14ac:dyDescent="0.2">
      <c r="A146" s="66" t="s">
        <v>5</v>
      </c>
      <c r="B146" s="40"/>
      <c r="C146" s="40"/>
      <c r="D146" s="40"/>
    </row>
    <row r="147" spans="1:4" ht="11.25" thickTop="1" x14ac:dyDescent="0.15">
      <c r="A147" s="82" t="s">
        <v>7</v>
      </c>
      <c r="B147" s="41"/>
      <c r="C147" s="43"/>
      <c r="D147" s="84" t="str">
        <f>D134</f>
        <v>Year 0</v>
      </c>
    </row>
    <row r="148" spans="1:4" x14ac:dyDescent="0.15">
      <c r="A148" s="73" t="s">
        <v>95</v>
      </c>
      <c r="B148" s="7"/>
      <c r="C148" s="7"/>
      <c r="D148" s="58">
        <f>IF(C42&gt;0,D127/C42,"NM")</f>
        <v>0.11646153846153848</v>
      </c>
    </row>
    <row r="149" spans="1:4" x14ac:dyDescent="0.15">
      <c r="A149" s="33" t="s">
        <v>27</v>
      </c>
      <c r="B149" s="33"/>
      <c r="C149" s="33"/>
      <c r="D149" s="33">
        <f>D13</f>
        <v>10500</v>
      </c>
    </row>
    <row r="150" spans="1:4" x14ac:dyDescent="0.15">
      <c r="A150" s="33" t="s">
        <v>62</v>
      </c>
      <c r="D150" s="37">
        <f>D127/D13</f>
        <v>0.13842285714285715</v>
      </c>
    </row>
    <row r="151" spans="1:4" x14ac:dyDescent="0.15">
      <c r="A151" s="33" t="s">
        <v>30</v>
      </c>
      <c r="D151" s="42">
        <f>IF(C51&gt;0,D13/C51,"NM")</f>
        <v>0.84134615384615385</v>
      </c>
    </row>
    <row r="152" spans="1:4" x14ac:dyDescent="0.15">
      <c r="A152" s="73" t="s">
        <v>75</v>
      </c>
      <c r="B152" s="7"/>
      <c r="C152" s="7"/>
      <c r="D152" s="58">
        <f>IF(D151&gt;0,D150*D151,"NM")</f>
        <v>0.11646153846153848</v>
      </c>
    </row>
    <row r="153" spans="1:4" ht="11.25" thickBot="1" x14ac:dyDescent="0.2">
      <c r="A153" s="32" t="s">
        <v>42</v>
      </c>
      <c r="B153" s="2"/>
      <c r="C153" s="2"/>
      <c r="D153" s="24">
        <f>D148-D152</f>
        <v>0</v>
      </c>
    </row>
    <row r="154" spans="1:4" ht="11.25" thickTop="1" x14ac:dyDescent="0.15"/>
    <row r="155" spans="1:4" ht="11.25" thickBot="1" x14ac:dyDescent="0.2">
      <c r="A155" s="2"/>
      <c r="B155" s="2"/>
      <c r="C155" s="2"/>
      <c r="D155" s="2"/>
    </row>
    <row r="156" spans="1:4" ht="11.25" thickTop="1" x14ac:dyDescent="0.15">
      <c r="A156" s="43" t="s">
        <v>6</v>
      </c>
      <c r="B156" s="38"/>
      <c r="C156" s="18"/>
      <c r="D156" s="39" t="str">
        <f>D147</f>
        <v>Year 0</v>
      </c>
    </row>
    <row r="157" spans="1:4" x14ac:dyDescent="0.15">
      <c r="A157" s="6" t="s">
        <v>40</v>
      </c>
      <c r="B157" s="6"/>
      <c r="C157" s="6"/>
      <c r="D157" s="58">
        <f>IF(C51&gt;0,D137/C51,"NM")</f>
        <v>1.3538461538461577E-2</v>
      </c>
    </row>
    <row r="158" spans="1:4" x14ac:dyDescent="0.15">
      <c r="A158" s="67" t="s">
        <v>67</v>
      </c>
      <c r="D158" s="37">
        <f>D148</f>
        <v>0.11646153846153848</v>
      </c>
    </row>
    <row r="159" spans="1:4" ht="14.25" x14ac:dyDescent="0.25">
      <c r="A159" s="55" t="s">
        <v>98</v>
      </c>
      <c r="D159" s="37">
        <f>IF(C51&gt;0,-(D51/C51-1),"NM")</f>
        <v>-0.10292307692307689</v>
      </c>
    </row>
    <row r="160" spans="1:4" x14ac:dyDescent="0.15">
      <c r="A160" s="56" t="s">
        <v>78</v>
      </c>
      <c r="B160" s="7"/>
      <c r="C160" s="7"/>
      <c r="D160" s="58">
        <f>SUM(D158:D159)</f>
        <v>1.3538461538461583E-2</v>
      </c>
    </row>
    <row r="161" spans="1:4" ht="11.25" thickBot="1" x14ac:dyDescent="0.2">
      <c r="A161" s="32" t="s">
        <v>41</v>
      </c>
      <c r="B161" s="2"/>
      <c r="C161" s="2"/>
      <c r="D161" s="24">
        <f>D157-D160</f>
        <v>0</v>
      </c>
    </row>
    <row r="162" spans="1:4" ht="11.25" thickTop="1" x14ac:dyDescent="0.15"/>
    <row r="164" spans="1:4" ht="11.25" thickBot="1" x14ac:dyDescent="0.2">
      <c r="A164" s="66" t="s">
        <v>104</v>
      </c>
      <c r="B164" s="40"/>
      <c r="C164" s="40"/>
      <c r="D164" s="40"/>
    </row>
    <row r="165" spans="1:4" ht="11.25" thickTop="1" x14ac:dyDescent="0.15">
      <c r="A165" s="43" t="s">
        <v>4</v>
      </c>
      <c r="B165" s="18"/>
      <c r="C165" s="18"/>
      <c r="D165" s="39" t="str">
        <f>D156</f>
        <v>Year 0</v>
      </c>
    </row>
    <row r="166" spans="1:4" x14ac:dyDescent="0.15">
      <c r="A166" s="45" t="s">
        <v>65</v>
      </c>
      <c r="B166" s="7"/>
      <c r="C166" s="7"/>
      <c r="D166" s="58">
        <f>IF(C38&gt;0,D117/C38,"NM")</f>
        <v>0.20300000000000004</v>
      </c>
    </row>
    <row r="167" spans="1:4" x14ac:dyDescent="0.15">
      <c r="A167" s="53" t="s">
        <v>76</v>
      </c>
      <c r="D167" s="37">
        <f>D130/C41</f>
        <v>3.6333333333333336E-2</v>
      </c>
    </row>
    <row r="168" spans="1:4" x14ac:dyDescent="0.15">
      <c r="A168" s="53" t="s">
        <v>77</v>
      </c>
      <c r="D168" s="37">
        <f>D148-D167</f>
        <v>8.0128205128205149E-2</v>
      </c>
    </row>
    <row r="169" spans="1:4" x14ac:dyDescent="0.15">
      <c r="A169" s="33" t="s">
        <v>46</v>
      </c>
      <c r="D169" s="37">
        <f>IF(C38&gt;0,C41/C38,"NM")</f>
        <v>1.08</v>
      </c>
    </row>
    <row r="170" spans="1:4" x14ac:dyDescent="0.15">
      <c r="A170" s="6" t="s">
        <v>66</v>
      </c>
      <c r="B170" s="7"/>
      <c r="C170" s="7"/>
      <c r="D170" s="58">
        <f>D148+D168*D169</f>
        <v>0.20300000000000004</v>
      </c>
    </row>
    <row r="171" spans="1:4" ht="11.25" thickBot="1" x14ac:dyDescent="0.2">
      <c r="A171" s="32" t="s">
        <v>2</v>
      </c>
      <c r="B171" s="2"/>
      <c r="C171" s="2"/>
      <c r="D171" s="24">
        <f>D166-D170</f>
        <v>0</v>
      </c>
    </row>
    <row r="172" spans="1:4" ht="11.25" thickTop="1" x14ac:dyDescent="0.15"/>
    <row r="174" spans="1:4" ht="11.25" thickBot="1" x14ac:dyDescent="0.2">
      <c r="A174" s="66" t="s">
        <v>140</v>
      </c>
      <c r="B174" s="40"/>
      <c r="C174" s="40"/>
      <c r="D174" s="40"/>
    </row>
    <row r="175" spans="1:4" ht="11.25" thickTop="1" x14ac:dyDescent="0.15">
      <c r="A175" s="144" t="s">
        <v>136</v>
      </c>
      <c r="B175" s="145"/>
      <c r="C175" s="146" t="str">
        <f>C36</f>
        <v>Year-1</v>
      </c>
      <c r="D175" s="146" t="str">
        <f>D36</f>
        <v>Year 0</v>
      </c>
    </row>
    <row r="176" spans="1:4" s="138" customFormat="1" x14ac:dyDescent="0.15">
      <c r="A176" s="29" t="s">
        <v>142</v>
      </c>
      <c r="B176" s="11"/>
      <c r="C176" s="142">
        <f>C41</f>
        <v>6479.9999999999991</v>
      </c>
      <c r="D176" s="142">
        <f>D41</f>
        <v>7344.48</v>
      </c>
    </row>
    <row r="177" spans="1:4" ht="11.25" thickBot="1" x14ac:dyDescent="0.2">
      <c r="A177" s="51" t="s">
        <v>137</v>
      </c>
      <c r="B177" s="2"/>
      <c r="C177" s="143">
        <f>C22*1.5</f>
        <v>8999.9999999999982</v>
      </c>
      <c r="D177" s="143">
        <f>D22*1.5</f>
        <v>9629.9999999999982</v>
      </c>
    </row>
    <row r="178" spans="1:4" ht="12" thickTop="1" thickBot="1" x14ac:dyDescent="0.2">
      <c r="A178" s="140" t="s">
        <v>138</v>
      </c>
      <c r="B178" s="16"/>
      <c r="C178" s="141">
        <f>SUM(C176:C177)</f>
        <v>15479.999999999996</v>
      </c>
      <c r="D178" s="141">
        <f>SUM(D176:D177)</f>
        <v>16974.479999999996</v>
      </c>
    </row>
    <row r="179" spans="1:4" ht="11.25" thickTop="1" x14ac:dyDescent="0.15">
      <c r="A179" s="139" t="s">
        <v>143</v>
      </c>
      <c r="D179" s="37">
        <f>D137/C178</f>
        <v>1.0914728682170577E-2</v>
      </c>
    </row>
    <row r="180" spans="1:4" x14ac:dyDescent="0.15">
      <c r="A180" s="139" t="s">
        <v>141</v>
      </c>
      <c r="D180" s="112">
        <f>IF(C51&gt;0,(D51/C51-1),"NM")</f>
        <v>0.10292307692307689</v>
      </c>
    </row>
    <row r="181" spans="1:4" ht="11.25" thickBot="1" x14ac:dyDescent="0.2">
      <c r="A181" s="147" t="s">
        <v>139</v>
      </c>
      <c r="B181" s="2"/>
      <c r="C181" s="2"/>
      <c r="D181" s="124">
        <f>D179+D180</f>
        <v>0.11383780560524748</v>
      </c>
    </row>
    <row r="182" spans="1:4" ht="11.25" thickTop="1" x14ac:dyDescent="0.15"/>
  </sheetData>
  <phoneticPr fontId="2" type="noConversion"/>
  <conditionalFormatting sqref="C144:D144 D171 D161 D153 D98 C65:D67 D78:D80 C52:D54 D131 D88:D89 C34:D34">
    <cfRule type="cellIs" dxfId="1" priority="3" stopIfTrue="1" operator="between">
      <formula>-0.01</formula>
      <formula>0.01</formula>
    </cfRule>
  </conditionalFormatting>
  <conditionalFormatting sqref="C90:D90">
    <cfRule type="cellIs" dxfId="0" priority="2" stopIfTrue="1" operator="between">
      <formula>-0.01</formula>
      <formula>0.01</formula>
    </cfRule>
  </conditionalFormatting>
  <hyperlinks>
    <hyperlink ref="F11" location="Step_1" display="Click below"/>
    <hyperlink ref="F11:G11" location="Step_1" display="Click here"/>
    <hyperlink ref="H11" location="Step_1" display="Click here"/>
    <hyperlink ref="F13" location="Step_41" display="Step_41"/>
    <hyperlink ref="F14" location="Step_6" display="Step_6"/>
    <hyperlink ref="F15" location="Step_4" display="Step_4"/>
    <hyperlink ref="F16" location="Step_2" display="Step_2"/>
    <hyperlink ref="F17" location="Step_9" display="Step_9"/>
    <hyperlink ref="F19" location="Step_17" display="Step_17"/>
    <hyperlink ref="F20" location="Step_21" display="Step_21"/>
    <hyperlink ref="F21" location="Step_15" display="Step_15"/>
    <hyperlink ref="F22" location="Step_13" display="Step_13"/>
    <hyperlink ref="F26" location="Step_3" display="Step_3"/>
    <hyperlink ref="F27" location="Step_5" display="Step_5"/>
    <hyperlink ref="F28" location="Step_7" display="Step_7"/>
    <hyperlink ref="F29" location="Step_8" display="Step_8"/>
    <hyperlink ref="F30" location="Step_10" display="Step_10"/>
    <hyperlink ref="F31" location="Step_11" display="Step_11"/>
    <hyperlink ref="F32" location="Step_12" display="Step_12"/>
    <hyperlink ref="F38" location="Step_14" display="Step_14"/>
    <hyperlink ref="F39" location="Step_16" display="Step_16"/>
    <hyperlink ref="F40" location="Step_18" display="Step_18"/>
    <hyperlink ref="F41" location="Step_19" display="Step_19"/>
    <hyperlink ref="F42" location="Step_20" display="Step_20"/>
    <hyperlink ref="F45" location="Step_22" display="Step_22"/>
    <hyperlink ref="F46" location="Step_23" display="Step_23"/>
    <hyperlink ref="F47" location="Step_24" display="Step_24"/>
    <hyperlink ref="F48" location="Step_25" display="Step_25"/>
    <hyperlink ref="F49" location="Step_26" display="Step_26"/>
    <hyperlink ref="F50" location="Step_27" display="Step_27"/>
    <hyperlink ref="F51" location="Step_28" display="Step_28"/>
    <hyperlink ref="F52" location="Step_29" display="Step_29"/>
    <hyperlink ref="F56" location="Step_30" display="Step_30"/>
    <hyperlink ref="F57" location="Step_31" display="Step_31"/>
    <hyperlink ref="F58" location="Step_32" display="Step_32"/>
    <hyperlink ref="F61" location="Step_33" display="Step_33"/>
    <hyperlink ref="F62" location="Step_34" display="Step_34"/>
    <hyperlink ref="F63" location="Step_35" display="Step_35"/>
    <hyperlink ref="F64" location="Step_36" display="Step_36"/>
    <hyperlink ref="F65" location="Step_37" display="Step_37"/>
    <hyperlink ref="F70" location="Step_38" display="Step_38"/>
    <hyperlink ref="F71" location="Step_39" display="Step_39"/>
    <hyperlink ref="F73" location="Step_40" display="Step_40"/>
    <hyperlink ref="F74" location="Step_42" display="Step_42"/>
    <hyperlink ref="F75" location="Step_43" display="Step_43"/>
    <hyperlink ref="F76" location="Step_44" display="Step_44"/>
    <hyperlink ref="F77" location="Step_45" display="Step_45"/>
    <hyperlink ref="F78" location="Step_46" display="Step_46"/>
    <hyperlink ref="F84" location="Step_47" display="Step_47"/>
    <hyperlink ref="F85" location="Step_48" display="Step_48"/>
    <hyperlink ref="F86" location="Step_49" display="Step_49"/>
    <hyperlink ref="F87" location="Step_50" display="Step_50"/>
    <hyperlink ref="F88" location="Step_51" display="Step_51"/>
    <hyperlink ref="F93" location="Step_52" display="Step_52"/>
    <hyperlink ref="F94" location="Step_53" display="Step_53"/>
    <hyperlink ref="F95" location="Step_54" display="Step_54"/>
    <hyperlink ref="F96" location="Step_55" display="Step_55"/>
    <hyperlink ref="F97" location="Step_56" display="Step_56"/>
    <hyperlink ref="F98" location="Step_57" display="Step_57"/>
    <hyperlink ref="F100" location="Step_58" display="Step_58"/>
    <hyperlink ref="F101" location="Step_59" display="Step_59"/>
    <hyperlink ref="F102" location="Step_60" display="Step_60"/>
    <hyperlink ref="F103" location="Step_61" display="Step_61"/>
    <hyperlink ref="F104" location="Step_62" display="Step_62"/>
    <hyperlink ref="F105" location="Step_63" display="Step_63"/>
  </hyperlinks>
  <printOptions gridLines="1"/>
  <pageMargins left="0.75" right="0.75" top="1" bottom="1" header="0.5" footer="0.5"/>
  <pageSetup orientation="landscape" horizontalDpi="1200" verticalDpi="1200" r:id="rId1"/>
  <headerFooter alignWithMargins="0">
    <oddHeader>&amp;L&amp;8&amp;A</oddHeader>
    <oddFooter>&amp;L&amp;8© Dan Gode and James Ohlson. All rights reserved. &amp;D&amp;R&amp;8&amp;P</oddFooter>
  </headerFooter>
  <rowBreaks count="1" manualBreakCount="1">
    <brk id="10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5:I33"/>
  <sheetViews>
    <sheetView showGridLines="0" zoomScaleNormal="100" workbookViewId="0"/>
  </sheetViews>
  <sheetFormatPr defaultRowHeight="10.5" x14ac:dyDescent="0.15"/>
  <cols>
    <col min="1" max="1" width="44.5703125" bestFit="1" customWidth="1"/>
    <col min="2" max="2" width="1" customWidth="1"/>
    <col min="3" max="3" width="10.7109375" bestFit="1" customWidth="1"/>
    <col min="4" max="4" width="9.85546875" bestFit="1" customWidth="1"/>
    <col min="5" max="5" width="11.42578125" bestFit="1" customWidth="1"/>
    <col min="6" max="9" width="8" bestFit="1" customWidth="1"/>
  </cols>
  <sheetData>
    <row r="5" spans="1:9" ht="11.25" thickBot="1" x14ac:dyDescent="0.2">
      <c r="A5" s="2"/>
      <c r="B5" s="2"/>
      <c r="C5" s="2"/>
      <c r="D5" s="2"/>
      <c r="E5" s="2"/>
      <c r="F5" s="2"/>
      <c r="G5" s="2"/>
      <c r="H5" s="2"/>
      <c r="I5" s="2"/>
    </row>
    <row r="6" spans="1:9" ht="11.25" thickTop="1" x14ac:dyDescent="0.15">
      <c r="A6" s="116" t="s">
        <v>108</v>
      </c>
      <c r="B6" s="117"/>
      <c r="C6" s="118" t="s">
        <v>110</v>
      </c>
      <c r="D6" s="118" t="s">
        <v>109</v>
      </c>
      <c r="E6" s="118" t="s">
        <v>111</v>
      </c>
      <c r="F6" s="118" t="s">
        <v>112</v>
      </c>
      <c r="G6" s="118" t="s">
        <v>113</v>
      </c>
      <c r="H6" s="118" t="s">
        <v>114</v>
      </c>
      <c r="I6" s="118" t="s">
        <v>115</v>
      </c>
    </row>
    <row r="7" spans="1:9" x14ac:dyDescent="0.15">
      <c r="A7" t="s">
        <v>124</v>
      </c>
      <c r="D7" s="122">
        <v>0.05</v>
      </c>
      <c r="E7" s="112">
        <f>D7</f>
        <v>0.05</v>
      </c>
      <c r="F7" s="112">
        <f t="shared" ref="F7:I7" si="0">E7</f>
        <v>0.05</v>
      </c>
      <c r="G7" s="112">
        <f t="shared" si="0"/>
        <v>0.05</v>
      </c>
      <c r="H7" s="112">
        <f t="shared" si="0"/>
        <v>0.05</v>
      </c>
      <c r="I7" s="112">
        <f t="shared" si="0"/>
        <v>0.05</v>
      </c>
    </row>
    <row r="8" spans="1:9" x14ac:dyDescent="0.15">
      <c r="A8" t="s">
        <v>125</v>
      </c>
      <c r="C8" s="121">
        <v>100</v>
      </c>
      <c r="D8" s="113">
        <f>C8*(1+D7)</f>
        <v>105</v>
      </c>
      <c r="E8" s="113">
        <f t="shared" ref="E8:I8" si="1">D8*(1+E7)</f>
        <v>110.25</v>
      </c>
      <c r="F8" s="113">
        <f t="shared" si="1"/>
        <v>115.7625</v>
      </c>
      <c r="G8" s="113">
        <f t="shared" si="1"/>
        <v>121.55062500000001</v>
      </c>
      <c r="H8" s="113">
        <f t="shared" si="1"/>
        <v>127.62815625000002</v>
      </c>
      <c r="I8" s="113">
        <f t="shared" si="1"/>
        <v>134.00956406250003</v>
      </c>
    </row>
    <row r="9" spans="1:9" x14ac:dyDescent="0.15">
      <c r="A9" t="s">
        <v>126</v>
      </c>
      <c r="D9" s="136">
        <v>0.12</v>
      </c>
      <c r="E9" s="114">
        <f>D9</f>
        <v>0.12</v>
      </c>
      <c r="F9" s="114">
        <f t="shared" ref="F9:I9" si="2">E9</f>
        <v>0.12</v>
      </c>
      <c r="G9" s="114">
        <f t="shared" si="2"/>
        <v>0.12</v>
      </c>
      <c r="H9" s="114">
        <f t="shared" si="2"/>
        <v>0.12</v>
      </c>
      <c r="I9" s="114">
        <f t="shared" si="2"/>
        <v>0.12</v>
      </c>
    </row>
    <row r="10" spans="1:9" x14ac:dyDescent="0.15">
      <c r="A10" t="s">
        <v>127</v>
      </c>
      <c r="D10" s="113">
        <f t="shared" ref="D10:I10" si="3">D9*C8</f>
        <v>12</v>
      </c>
      <c r="E10" s="113">
        <f t="shared" si="3"/>
        <v>12.6</v>
      </c>
      <c r="F10" s="113">
        <f t="shared" si="3"/>
        <v>13.229999999999999</v>
      </c>
      <c r="G10" s="113">
        <f t="shared" si="3"/>
        <v>13.891500000000001</v>
      </c>
      <c r="H10" s="113">
        <f t="shared" si="3"/>
        <v>14.586075000000001</v>
      </c>
      <c r="I10" s="113">
        <f t="shared" si="3"/>
        <v>15.315378750000001</v>
      </c>
    </row>
    <row r="11" spans="1:9" ht="11.25" thickBot="1" x14ac:dyDescent="0.2">
      <c r="A11" s="2" t="s">
        <v>128</v>
      </c>
      <c r="B11" s="2"/>
      <c r="C11" s="119">
        <f t="shared" ref="C11:I11" si="4">C10-(C8-B8)</f>
        <v>-100</v>
      </c>
      <c r="D11" s="119">
        <f t="shared" si="4"/>
        <v>7</v>
      </c>
      <c r="E11" s="119">
        <f t="shared" si="4"/>
        <v>7.35</v>
      </c>
      <c r="F11" s="119">
        <f t="shared" si="4"/>
        <v>7.7174999999999958</v>
      </c>
      <c r="G11" s="119">
        <f t="shared" si="4"/>
        <v>8.1033749999999927</v>
      </c>
      <c r="H11" s="119">
        <f t="shared" si="4"/>
        <v>8.5085437499999941</v>
      </c>
      <c r="I11" s="119">
        <f t="shared" si="4"/>
        <v>8.9339709374999856</v>
      </c>
    </row>
    <row r="12" spans="1:9" ht="11.25" thickTop="1" x14ac:dyDescent="0.15">
      <c r="A12" s="120" t="s">
        <v>116</v>
      </c>
      <c r="B12" s="117"/>
      <c r="C12" s="117"/>
      <c r="D12" s="117"/>
      <c r="E12" s="117"/>
      <c r="F12" s="117"/>
      <c r="G12" s="117"/>
      <c r="H12" s="117"/>
      <c r="I12" s="117"/>
    </row>
    <row r="13" spans="1:9" x14ac:dyDescent="0.15">
      <c r="A13" s="12" t="s">
        <v>120</v>
      </c>
      <c r="C13" s="122">
        <v>0.5</v>
      </c>
      <c r="D13" s="112">
        <f>C13</f>
        <v>0.5</v>
      </c>
      <c r="E13" s="112">
        <f t="shared" ref="E13:I13" si="5">D13</f>
        <v>0.5</v>
      </c>
      <c r="F13" s="112">
        <f t="shared" si="5"/>
        <v>0.5</v>
      </c>
      <c r="G13" s="112">
        <f t="shared" si="5"/>
        <v>0.5</v>
      </c>
      <c r="H13" s="112">
        <f t="shared" si="5"/>
        <v>0.5</v>
      </c>
      <c r="I13" s="112">
        <f t="shared" si="5"/>
        <v>0.5</v>
      </c>
    </row>
    <row r="14" spans="1:9" x14ac:dyDescent="0.15">
      <c r="A14" s="12" t="s">
        <v>121</v>
      </c>
      <c r="C14" s="113">
        <f>C8*C13</f>
        <v>50</v>
      </c>
      <c r="D14" s="113">
        <f t="shared" ref="D14:I14" si="6">D8*D13</f>
        <v>52.5</v>
      </c>
      <c r="E14" s="113">
        <f t="shared" si="6"/>
        <v>55.125</v>
      </c>
      <c r="F14" s="113">
        <f t="shared" si="6"/>
        <v>57.881250000000001</v>
      </c>
      <c r="G14" s="113">
        <f t="shared" si="6"/>
        <v>60.775312500000005</v>
      </c>
      <c r="H14" s="113">
        <f t="shared" si="6"/>
        <v>63.814078125000009</v>
      </c>
      <c r="I14" s="113">
        <f t="shared" si="6"/>
        <v>67.004782031250016</v>
      </c>
    </row>
    <row r="15" spans="1:9" x14ac:dyDescent="0.15">
      <c r="A15" s="12" t="s">
        <v>122</v>
      </c>
      <c r="C15" s="115">
        <f>C11+C14-B14</f>
        <v>-50</v>
      </c>
      <c r="D15" s="115">
        <f t="shared" ref="D15:I15" si="7">D11+D14-C14</f>
        <v>9.5</v>
      </c>
      <c r="E15" s="115">
        <f t="shared" si="7"/>
        <v>9.9750000000000014</v>
      </c>
      <c r="F15" s="115">
        <f t="shared" si="7"/>
        <v>10.473749999999995</v>
      </c>
      <c r="G15" s="115">
        <f t="shared" si="7"/>
        <v>10.997437499999997</v>
      </c>
      <c r="H15" s="115">
        <f t="shared" si="7"/>
        <v>11.547309375000005</v>
      </c>
      <c r="I15" s="115">
        <f t="shared" si="7"/>
        <v>12.12467484375</v>
      </c>
    </row>
    <row r="16" spans="1:9" ht="11.25" thickBot="1" x14ac:dyDescent="0.2">
      <c r="A16" s="123" t="s">
        <v>123</v>
      </c>
      <c r="B16" s="2"/>
      <c r="C16" s="2"/>
      <c r="D16" s="124">
        <f>D15/C14</f>
        <v>0.19</v>
      </c>
      <c r="E16" s="124">
        <f t="shared" ref="E16:I16" si="8">E15/D14</f>
        <v>0.19000000000000003</v>
      </c>
      <c r="F16" s="124">
        <f t="shared" si="8"/>
        <v>0.18999999999999992</v>
      </c>
      <c r="G16" s="124">
        <f t="shared" si="8"/>
        <v>0.18999999999999995</v>
      </c>
      <c r="H16" s="124">
        <f t="shared" si="8"/>
        <v>0.19000000000000006</v>
      </c>
      <c r="I16" s="124">
        <f t="shared" si="8"/>
        <v>0.18999999999999997</v>
      </c>
    </row>
    <row r="17" spans="1:9" ht="11.25" thickTop="1" x14ac:dyDescent="0.15">
      <c r="A17" s="120" t="s">
        <v>129</v>
      </c>
      <c r="B17" s="117"/>
      <c r="C17" s="117"/>
      <c r="D17" s="117"/>
      <c r="E17" s="117"/>
      <c r="F17" s="117"/>
      <c r="G17" s="117"/>
      <c r="H17" s="117"/>
      <c r="I17" s="117"/>
    </row>
    <row r="18" spans="1:9" x14ac:dyDescent="0.15">
      <c r="C18" s="125"/>
      <c r="D18" t="s">
        <v>119</v>
      </c>
      <c r="E18" t="s">
        <v>117</v>
      </c>
    </row>
    <row r="19" spans="1:9" x14ac:dyDescent="0.15">
      <c r="C19" s="125" t="s">
        <v>118</v>
      </c>
      <c r="D19" s="127">
        <f>D11</f>
        <v>7</v>
      </c>
      <c r="E19" s="128">
        <f>D16</f>
        <v>0.19</v>
      </c>
    </row>
    <row r="20" spans="1:9" x14ac:dyDescent="0.15">
      <c r="C20" s="126">
        <f>D9-6%</f>
        <v>0.06</v>
      </c>
      <c r="D20" s="113">
        <f t="dataTable" ref="D20:E32" dt2D="0" dtr="0" r1="D7"/>
        <v>6</v>
      </c>
      <c r="E20" s="112">
        <v>0.18</v>
      </c>
    </row>
    <row r="21" spans="1:9" x14ac:dyDescent="0.15">
      <c r="C21" s="126">
        <f>C20+1%</f>
        <v>6.9999999999999993E-2</v>
      </c>
      <c r="D21" s="113">
        <v>5</v>
      </c>
      <c r="E21" s="112">
        <v>0.17</v>
      </c>
    </row>
    <row r="22" spans="1:9" x14ac:dyDescent="0.15">
      <c r="C22" s="126">
        <f t="shared" ref="C22:C32" si="9">C21+1%</f>
        <v>7.9999999999999988E-2</v>
      </c>
      <c r="D22" s="113">
        <v>4</v>
      </c>
      <c r="E22" s="112">
        <v>0.16</v>
      </c>
    </row>
    <row r="23" spans="1:9" x14ac:dyDescent="0.15">
      <c r="C23" s="126">
        <f t="shared" si="9"/>
        <v>8.9999999999999983E-2</v>
      </c>
      <c r="D23" s="113">
        <v>2.9999999999999858</v>
      </c>
      <c r="E23" s="112">
        <v>0.14999999999999986</v>
      </c>
    </row>
    <row r="24" spans="1:9" x14ac:dyDescent="0.15">
      <c r="C24" s="126">
        <f t="shared" si="9"/>
        <v>9.9999999999999978E-2</v>
      </c>
      <c r="D24" s="113">
        <v>1.9999999999999858</v>
      </c>
      <c r="E24" s="112">
        <v>0.13999999999999985</v>
      </c>
    </row>
    <row r="25" spans="1:9" x14ac:dyDescent="0.15">
      <c r="C25" s="126">
        <f t="shared" si="9"/>
        <v>0.10999999999999997</v>
      </c>
      <c r="D25" s="113">
        <v>1.0000000000000142</v>
      </c>
      <c r="E25" s="112">
        <v>0.13000000000000014</v>
      </c>
    </row>
    <row r="26" spans="1:9" x14ac:dyDescent="0.15">
      <c r="C26" s="133">
        <f t="shared" si="9"/>
        <v>0.11999999999999997</v>
      </c>
      <c r="D26" s="134">
        <v>1.4210854715202004E-14</v>
      </c>
      <c r="E26" s="135">
        <v>0.12000000000000015</v>
      </c>
    </row>
    <row r="27" spans="1:9" x14ac:dyDescent="0.15">
      <c r="C27" s="126">
        <f t="shared" si="9"/>
        <v>0.12999999999999998</v>
      </c>
      <c r="D27" s="113">
        <v>-0.99999999999998579</v>
      </c>
      <c r="E27" s="112">
        <v>0.11000000000000014</v>
      </c>
    </row>
    <row r="28" spans="1:9" x14ac:dyDescent="0.15">
      <c r="C28" s="126">
        <f t="shared" si="9"/>
        <v>0.13999999999999999</v>
      </c>
      <c r="D28" s="113">
        <v>-1.9999999999999858</v>
      </c>
      <c r="E28" s="112">
        <v>0.10000000000000014</v>
      </c>
    </row>
    <row r="29" spans="1:9" x14ac:dyDescent="0.15">
      <c r="C29" s="126">
        <f t="shared" si="9"/>
        <v>0.15</v>
      </c>
      <c r="D29" s="113">
        <v>-2.9999999999999858</v>
      </c>
      <c r="E29" s="112">
        <v>9.0000000000000135E-2</v>
      </c>
    </row>
    <row r="30" spans="1:9" x14ac:dyDescent="0.15">
      <c r="C30" s="126">
        <f t="shared" si="9"/>
        <v>0.16</v>
      </c>
      <c r="D30" s="113">
        <v>-3.9999999999999858</v>
      </c>
      <c r="E30" s="112">
        <v>8.000000000000014E-2</v>
      </c>
    </row>
    <row r="31" spans="1:9" x14ac:dyDescent="0.15">
      <c r="A31" s="11"/>
      <c r="B31" s="11"/>
      <c r="C31" s="126">
        <f t="shared" si="9"/>
        <v>0.17</v>
      </c>
      <c r="D31" s="129">
        <v>-5</v>
      </c>
      <c r="E31" s="130">
        <v>7.0000000000000007E-2</v>
      </c>
      <c r="F31" s="11"/>
      <c r="G31" s="11"/>
      <c r="H31" s="11"/>
      <c r="I31" s="11"/>
    </row>
    <row r="32" spans="1:9" ht="11.25" thickBot="1" x14ac:dyDescent="0.2">
      <c r="A32" s="2"/>
      <c r="B32" s="2"/>
      <c r="C32" s="131">
        <f t="shared" si="9"/>
        <v>0.18000000000000002</v>
      </c>
      <c r="D32" s="132">
        <v>-6</v>
      </c>
      <c r="E32" s="124">
        <v>0.06</v>
      </c>
      <c r="F32" s="2"/>
      <c r="G32" s="2"/>
      <c r="H32" s="2"/>
      <c r="I32" s="2"/>
    </row>
    <row r="33" ht="11.25" thickTop="1" x14ac:dyDescent="0.15"/>
  </sheetData>
  <printOptions gridLines="1"/>
  <pageMargins left="0.7" right="0.7" top="0.75" bottom="0.75" header="0.3" footer="0.3"/>
  <pageSetup orientation="portrait" r:id="rId1"/>
  <headerFooter>
    <oddHeader>&amp;L&amp;8&amp;A</oddHeader>
    <oddFooter>&amp;L&amp;8© Dan Gode and James Ohlson. All rights reserved. &amp;D&amp;R&amp;8&amp;P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63</vt:i4>
      </vt:variant>
    </vt:vector>
  </HeadingPairs>
  <TitlesOfParts>
    <vt:vector size="65" baseType="lpstr">
      <vt:lpstr>EnterpriseVsFinancial</vt:lpstr>
      <vt:lpstr>Conservatism</vt:lpstr>
      <vt:lpstr>Step_1</vt:lpstr>
      <vt:lpstr>Step_10</vt:lpstr>
      <vt:lpstr>Step_11</vt:lpstr>
      <vt:lpstr>Step_12</vt:lpstr>
      <vt:lpstr>Step_13</vt:lpstr>
      <vt:lpstr>Step_14</vt:lpstr>
      <vt:lpstr>Step_15</vt:lpstr>
      <vt:lpstr>Step_16</vt:lpstr>
      <vt:lpstr>Step_17</vt:lpstr>
      <vt:lpstr>Step_18</vt:lpstr>
      <vt:lpstr>Step_19</vt:lpstr>
      <vt:lpstr>Step_2</vt:lpstr>
      <vt:lpstr>Step_20</vt:lpstr>
      <vt:lpstr>Step_21</vt:lpstr>
      <vt:lpstr>Step_22</vt:lpstr>
      <vt:lpstr>Step_23</vt:lpstr>
      <vt:lpstr>Step_24</vt:lpstr>
      <vt:lpstr>Step_25</vt:lpstr>
      <vt:lpstr>Step_26</vt:lpstr>
      <vt:lpstr>Step_27</vt:lpstr>
      <vt:lpstr>Step_28</vt:lpstr>
      <vt:lpstr>Step_29</vt:lpstr>
      <vt:lpstr>Step_3</vt:lpstr>
      <vt:lpstr>Step_30</vt:lpstr>
      <vt:lpstr>Step_31</vt:lpstr>
      <vt:lpstr>Step_32</vt:lpstr>
      <vt:lpstr>Step_33</vt:lpstr>
      <vt:lpstr>Step_34</vt:lpstr>
      <vt:lpstr>Step_35</vt:lpstr>
      <vt:lpstr>Step_36</vt:lpstr>
      <vt:lpstr>Step_37</vt:lpstr>
      <vt:lpstr>Step_38</vt:lpstr>
      <vt:lpstr>Step_39</vt:lpstr>
      <vt:lpstr>Step_4</vt:lpstr>
      <vt:lpstr>Step_40</vt:lpstr>
      <vt:lpstr>Step_41</vt:lpstr>
      <vt:lpstr>Step_42</vt:lpstr>
      <vt:lpstr>Step_43</vt:lpstr>
      <vt:lpstr>Step_44</vt:lpstr>
      <vt:lpstr>Step_45</vt:lpstr>
      <vt:lpstr>Step_46</vt:lpstr>
      <vt:lpstr>Step_47</vt:lpstr>
      <vt:lpstr>Step_48</vt:lpstr>
      <vt:lpstr>Step_49</vt:lpstr>
      <vt:lpstr>Step_5</vt:lpstr>
      <vt:lpstr>Step_50</vt:lpstr>
      <vt:lpstr>Step_51</vt:lpstr>
      <vt:lpstr>Step_52</vt:lpstr>
      <vt:lpstr>Step_53</vt:lpstr>
      <vt:lpstr>Step_54</vt:lpstr>
      <vt:lpstr>Step_55</vt:lpstr>
      <vt:lpstr>Step_56</vt:lpstr>
      <vt:lpstr>Step_57</vt:lpstr>
      <vt:lpstr>Step_58</vt:lpstr>
      <vt:lpstr>Step_59</vt:lpstr>
      <vt:lpstr>Step_6</vt:lpstr>
      <vt:lpstr>Step_60</vt:lpstr>
      <vt:lpstr>Step_61</vt:lpstr>
      <vt:lpstr>Step_62</vt:lpstr>
      <vt:lpstr>Step_63</vt:lpstr>
      <vt:lpstr>Step_7</vt:lpstr>
      <vt:lpstr>Step_8</vt:lpstr>
      <vt:lpstr>Step_9</vt:lpstr>
    </vt:vector>
  </TitlesOfParts>
  <Manager>http://www.dangode.com</Manager>
  <Company>http://www.godeohlson.com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Enterprise vs. Financial Activities</dc:title>
  <dc:subject>Financial Statement Analysis and Valuation</dc:subject>
  <dc:creator>Dan Gode and James Ohlson</dc:creator>
  <cp:lastModifiedBy>Dan Gode</cp:lastModifiedBy>
  <cp:lastPrinted>2011-01-19T02:40:54Z</cp:lastPrinted>
  <dcterms:created xsi:type="dcterms:W3CDTF">2010-03-04T17:54:57Z</dcterms:created>
  <dcterms:modified xsi:type="dcterms:W3CDTF">2016-09-05T18:18:45Z</dcterms:modified>
</cp:coreProperties>
</file>