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gode\Documents\0Almaris\godeohlson-web\files\"/>
    </mc:Choice>
  </mc:AlternateContent>
  <bookViews>
    <workbookView xWindow="0" yWindow="30" windowWidth="11835" windowHeight="7275"/>
  </bookViews>
  <sheets>
    <sheet name="AdjustedCashEarnings(ACE)" sheetId="1" r:id="rId1"/>
    <sheet name="Soft" sheetId="2" r:id="rId2"/>
  </sheets>
  <calcPr calcId="162913" iterate="1"/>
</workbook>
</file>

<file path=xl/calcChain.xml><?xml version="1.0" encoding="utf-8"?>
<calcChain xmlns="http://schemas.openxmlformats.org/spreadsheetml/2006/main">
  <c r="E4" i="2" l="1"/>
  <c r="D4" i="2"/>
  <c r="C4" i="2"/>
  <c r="E103" i="1"/>
  <c r="D103" i="1"/>
  <c r="C103" i="1"/>
  <c r="E95" i="1"/>
  <c r="D95" i="1"/>
  <c r="C95" i="1"/>
  <c r="E81" i="1"/>
  <c r="D81" i="1"/>
  <c r="C81" i="1"/>
  <c r="E72" i="1"/>
  <c r="D72" i="1"/>
  <c r="C72" i="1"/>
  <c r="E66" i="1"/>
  <c r="D66" i="1"/>
  <c r="C66" i="1"/>
  <c r="E45" i="1"/>
  <c r="D45" i="1"/>
  <c r="C45" i="1"/>
  <c r="E56" i="1"/>
  <c r="D56" i="1"/>
  <c r="C56" i="1"/>
  <c r="E39" i="1"/>
  <c r="D39" i="1"/>
  <c r="C39" i="1"/>
  <c r="E33" i="1"/>
  <c r="D33" i="1"/>
  <c r="C33" i="1"/>
  <c r="D28" i="1"/>
  <c r="E28" i="1"/>
  <c r="C28" i="1"/>
  <c r="D89" i="1" l="1"/>
  <c r="D30" i="1"/>
  <c r="D21" i="1" s="1"/>
  <c r="C46" i="1"/>
  <c r="C20" i="1"/>
  <c r="C21" i="1"/>
  <c r="C22" i="1"/>
  <c r="C13" i="1"/>
  <c r="C14" i="1"/>
  <c r="C24" i="1"/>
  <c r="C23" i="1"/>
  <c r="C17" i="1"/>
  <c r="C16" i="1"/>
  <c r="D29" i="1"/>
  <c r="D88" i="1" s="1"/>
  <c r="C75" i="1" l="1"/>
  <c r="C5" i="2"/>
  <c r="D31" i="1"/>
  <c r="D32" i="1" s="1"/>
  <c r="D35" i="1" s="1"/>
  <c r="D46" i="1"/>
  <c r="D75" i="1" s="1"/>
  <c r="D20" i="1"/>
  <c r="D17" i="1"/>
  <c r="E89" i="1"/>
  <c r="D14" i="1"/>
  <c r="D24" i="1"/>
  <c r="D13" i="1"/>
  <c r="E30" i="1"/>
  <c r="E31" i="1" s="1"/>
  <c r="E29" i="1"/>
  <c r="E88" i="1" s="1"/>
  <c r="C25" i="1"/>
  <c r="D83" i="1"/>
  <c r="D23" i="1"/>
  <c r="D22" i="1"/>
  <c r="D16" i="1"/>
  <c r="D79" i="1" l="1"/>
  <c r="C6" i="2"/>
  <c r="C10" i="2" s="1"/>
  <c r="C12" i="2" s="1"/>
  <c r="C7" i="2"/>
  <c r="C9" i="2" s="1"/>
  <c r="E16" i="1"/>
  <c r="D76" i="1"/>
  <c r="D5" i="2"/>
  <c r="D97" i="1"/>
  <c r="D100" i="1" s="1"/>
  <c r="D47" i="1"/>
  <c r="E24" i="1"/>
  <c r="E83" i="1"/>
  <c r="E84" i="1" s="1"/>
  <c r="E85" i="1" s="1"/>
  <c r="E32" i="1"/>
  <c r="E35" i="1" s="1"/>
  <c r="D25" i="1"/>
  <c r="E46" i="1"/>
  <c r="E5" i="2" s="1"/>
  <c r="E20" i="1"/>
  <c r="E17" i="1"/>
  <c r="E22" i="1"/>
  <c r="E14" i="1"/>
  <c r="E23" i="1"/>
  <c r="E13" i="1"/>
  <c r="E21" i="1"/>
  <c r="D84" i="1"/>
  <c r="D85" i="1" s="1"/>
  <c r="D98" i="1" l="1"/>
  <c r="D99" i="1"/>
  <c r="D101" i="1" s="1"/>
  <c r="D107" i="1" s="1"/>
  <c r="C13" i="2"/>
  <c r="C14" i="2" s="1"/>
  <c r="C15" i="1" s="1"/>
  <c r="E7" i="2"/>
  <c r="E9" i="2" s="1"/>
  <c r="E6" i="2"/>
  <c r="E10" i="2" s="1"/>
  <c r="E12" i="2" s="1"/>
  <c r="D6" i="2"/>
  <c r="D10" i="2" s="1"/>
  <c r="D12" i="2" s="1"/>
  <c r="D7" i="2"/>
  <c r="D9" i="2" s="1"/>
  <c r="E87" i="1"/>
  <c r="E90" i="1"/>
  <c r="E92" i="1" s="1"/>
  <c r="E109" i="1" s="1"/>
  <c r="D87" i="1"/>
  <c r="D90" i="1"/>
  <c r="D92" i="1" s="1"/>
  <c r="D109" i="1" s="1"/>
  <c r="E25" i="1"/>
  <c r="E47" i="1"/>
  <c r="E76" i="1"/>
  <c r="E97" i="1"/>
  <c r="E75" i="1"/>
  <c r="E79" i="1" s="1"/>
  <c r="C18" i="1" l="1"/>
  <c r="C26" i="1" s="1"/>
  <c r="C48" i="1" s="1"/>
  <c r="D13" i="2"/>
  <c r="D14" i="2" s="1"/>
  <c r="D15" i="1" s="1"/>
  <c r="D78" i="1" s="1"/>
  <c r="D80" i="1" s="1"/>
  <c r="D104" i="1" s="1"/>
  <c r="E13" i="2"/>
  <c r="E14" i="2" s="1"/>
  <c r="E100" i="1"/>
  <c r="E99" i="1"/>
  <c r="E98" i="1"/>
  <c r="C67" i="1" l="1"/>
  <c r="C68" i="1"/>
  <c r="D49" i="1"/>
  <c r="D51" i="1" s="1"/>
  <c r="D18" i="1"/>
  <c r="D26" i="1" s="1"/>
  <c r="D27" i="1" s="1"/>
  <c r="E101" i="1"/>
  <c r="E107" i="1" s="1"/>
  <c r="E15" i="1"/>
  <c r="E78" i="1" s="1"/>
  <c r="E80" i="1" s="1"/>
  <c r="E104" i="1" s="1"/>
  <c r="E18" i="1" l="1"/>
  <c r="E26" i="1" s="1"/>
  <c r="E48" i="1" s="1"/>
  <c r="E68" i="1" s="1"/>
  <c r="D48" i="1"/>
  <c r="D68" i="1" s="1"/>
  <c r="D34" i="1"/>
  <c r="D36" i="1" s="1"/>
  <c r="E27" i="1" l="1"/>
  <c r="E34" i="1" s="1"/>
  <c r="E36" i="1" s="1"/>
  <c r="E91" i="1" s="1"/>
  <c r="E93" i="1" s="1"/>
  <c r="E94" i="1" s="1"/>
  <c r="E102" i="1" s="1"/>
  <c r="E105" i="1" s="1"/>
  <c r="E106" i="1" s="1"/>
  <c r="E67" i="1"/>
  <c r="D67" i="1"/>
  <c r="E49" i="1"/>
  <c r="E51" i="1" s="1"/>
  <c r="D91" i="1"/>
  <c r="D93" i="1" s="1"/>
  <c r="D94" i="1" s="1"/>
  <c r="D102" i="1" s="1"/>
  <c r="D105" i="1" s="1"/>
  <c r="D106" i="1" s="1"/>
  <c r="D50" i="1"/>
  <c r="D52" i="1" s="1"/>
  <c r="D62" i="1" s="1"/>
  <c r="D40" i="1"/>
  <c r="D41" i="1" s="1"/>
  <c r="E108" i="1" l="1"/>
  <c r="E110" i="1" s="1"/>
  <c r="E111" i="1" s="1"/>
  <c r="E113" i="1"/>
  <c r="E50" i="1"/>
  <c r="E52" i="1" s="1"/>
  <c r="E62" i="1" s="1"/>
  <c r="E40" i="1"/>
  <c r="E41" i="1" s="1"/>
  <c r="D108" i="1"/>
  <c r="D110" i="1" s="1"/>
  <c r="D111" i="1" s="1"/>
  <c r="D113" i="1"/>
  <c r="E59" i="1"/>
  <c r="D65" i="1"/>
  <c r="D64" i="1"/>
  <c r="D61" i="1"/>
  <c r="D58" i="1"/>
  <c r="D59" i="1"/>
  <c r="E58" i="1"/>
  <c r="E64" i="1"/>
  <c r="E65" i="1"/>
  <c r="E61" i="1"/>
</calcChain>
</file>

<file path=xl/sharedStrings.xml><?xml version="1.0" encoding="utf-8"?>
<sst xmlns="http://schemas.openxmlformats.org/spreadsheetml/2006/main" count="111" uniqueCount="106">
  <si>
    <t>Year-2</t>
  </si>
  <si>
    <t>Year-1</t>
  </si>
  <si>
    <t>Year 0</t>
  </si>
  <si>
    <t>Cash</t>
  </si>
  <si>
    <t>Short-term investments</t>
  </si>
  <si>
    <t>Sales</t>
  </si>
  <si>
    <t>Sales growth</t>
  </si>
  <si>
    <t>_</t>
  </si>
  <si>
    <t>= Total hard assets</t>
  </si>
  <si>
    <t>= Total hard liabilities</t>
  </si>
  <si>
    <t>Change in hard equity</t>
  </si>
  <si>
    <t>Comprehensive hard earnings</t>
  </si>
  <si>
    <t>Hard sales</t>
  </si>
  <si>
    <t>Hard enterprise expenses, after tax</t>
  </si>
  <si>
    <t>= Hard enterprise income, after tax</t>
  </si>
  <si>
    <t>Adjust for</t>
  </si>
  <si>
    <t>(increase) decrease in soft receivables</t>
  </si>
  <si>
    <t>increase (decrease) in deferred revenues</t>
  </si>
  <si>
    <t>Accruals related to sales</t>
  </si>
  <si>
    <t>Financial items</t>
  </si>
  <si>
    <t>Hard enterprise expenses with remaining future benefits</t>
  </si>
  <si>
    <t>Receivables, net of bad debts</t>
  </si>
  <si>
    <t>Net dividends</t>
  </si>
  <si>
    <t>Net dividends = Comprehensive earnings - Change in equity</t>
  </si>
  <si>
    <t>Soft component: Reported earnings - Hard earnings</t>
  </si>
  <si>
    <t>1. Hard earnings or Cash earnings</t>
  </si>
  <si>
    <t>Check: Soft component - (Change in reported equity - Change in hard equity) = 0</t>
  </si>
  <si>
    <t>= Net financial expense (income), pre tax</t>
  </si>
  <si>
    <t>= Net financial expense (income), after tax</t>
  </si>
  <si>
    <t>= Comprehensive net financial expense (income), after tax</t>
  </si>
  <si>
    <t>Add back: Comprehensive net financial expense (income), after tax</t>
  </si>
  <si>
    <t>= Hard earnings or Cash earnings [= Change in hard equity + net dividends]</t>
  </si>
  <si>
    <t>Hard earnings [Computed above]</t>
  </si>
  <si>
    <t>Adjusted cash earnings/Sales</t>
  </si>
  <si>
    <t>Adjusted cash earnings/Reported earnings</t>
  </si>
  <si>
    <t>(Reported earnings - Adjusted cash earnings)/Sales</t>
  </si>
  <si>
    <t>(Reported earnings - Adjusted cash earnings)/Reported earnings</t>
  </si>
  <si>
    <t>Net interest expense (income) [expense: positive, income: negative]</t>
  </si>
  <si>
    <t>Other financial expense (income) [expense: positive, income: negative]</t>
  </si>
  <si>
    <t>Tax rate for financial activities</t>
  </si>
  <si>
    <t>Other comprehensive financial expense (income), after tax [expense: positive, income: negative]</t>
  </si>
  <si>
    <t>Preferred dividends [enter as positive]</t>
  </si>
  <si>
    <t>Capital expenditures [Enter as positive]</t>
  </si>
  <si>
    <t>(Dispositions) [Enter proceeds from sale as negative.]</t>
  </si>
  <si>
    <t>R&amp;D spending [Enter as positive.]</t>
  </si>
  <si>
    <t>Cash equivalent acquisitions [Enter as positive.]</t>
  </si>
  <si>
    <t>= Hard earnings</t>
  </si>
  <si>
    <t>4. Metrics</t>
  </si>
  <si>
    <t>Judgment: Cutoff for days of receivables to qualify as hard asset</t>
  </si>
  <si>
    <t>Judgment: Cutoff for allowance [Enter as positive %.] to qualify as hard asset</t>
  </si>
  <si>
    <t>2. Soft component of reported earnings</t>
  </si>
  <si>
    <t>3. Growth-adjusted hard earnings or Adjusted cash earnings [ACE]</t>
  </si>
  <si>
    <t>Comprehensive earnings to equity [it is already after tax]</t>
  </si>
  <si>
    <t>Soft equity = reported equity - hard equity</t>
  </si>
  <si>
    <t>Hard equity, i.e., equity without soft component = Hard assets - Hard liabilities</t>
  </si>
  <si>
    <t>Change in equity</t>
  </si>
  <si>
    <t>Equity</t>
  </si>
  <si>
    <t>= Hard sales or cash sales</t>
  </si>
  <si>
    <t>Detailed hard income statement</t>
  </si>
  <si>
    <t xml:space="preserve">Example: Determining if an accrual is hard or soft </t>
  </si>
  <si>
    <t>1: Qualifies for hard asset?</t>
  </si>
  <si>
    <t>2: Qualifies for hard asset?</t>
  </si>
  <si>
    <t>Overall: Does it meet criteria 1 and 2 for hard asset?</t>
  </si>
  <si>
    <t>Accounts payable [Enter as positive number.]</t>
  </si>
  <si>
    <t>Long-term debt [Enter as positive number.]</t>
  </si>
  <si>
    <t>Preferred stock [Enter as positive number.]</t>
  </si>
  <si>
    <t>Hard assets</t>
  </si>
  <si>
    <t>Hard liabilities</t>
  </si>
  <si>
    <t>Short-term financial obligations [Enter as positive number.]</t>
  </si>
  <si>
    <t>= Growth-adjusted hard earnings or Adjusted cash earnings [ACE]</t>
  </si>
  <si>
    <t>Relative magnitude of adjusted cash earnings</t>
  </si>
  <si>
    <t>Relative magnitude of soft component of earnings before adjustment for growth</t>
  </si>
  <si>
    <t>Relative magnitude of reported earnings minus adjusted cash earnings</t>
  </si>
  <si>
    <t>= Hard enterprise earnings, after tax</t>
  </si>
  <si>
    <t>Start with hard earnings, after tax</t>
  </si>
  <si>
    <t>Hard enterprise expenses including taxes = Hard sales - Hard enterprise earnings, after tax</t>
  </si>
  <si>
    <t>Less: Comprehensive net financial expense (income), after tax</t>
  </si>
  <si>
    <t>Hard enterprise expenses including taxes with no future benefits = 
Hard enterprise expenses including taxes - Hard enterprise expenses with future benefits</t>
  </si>
  <si>
    <t>5. Advanced: Detailed hard income statement</t>
  </si>
  <si>
    <t>Long-term investments in debt and equity</t>
  </si>
  <si>
    <t>Hard receivables</t>
  </si>
  <si>
    <t>Days of receivables</t>
  </si>
  <si>
    <t>Input: Reported gross receivables</t>
  </si>
  <si>
    <t>Input: Allowance as % of gross receivables</t>
  </si>
  <si>
    <t>Input: Allowance for bad debts [Enter as positive number]</t>
  </si>
  <si>
    <r>
      <t xml:space="preserve">Less: Hard enterprise expenses </t>
    </r>
    <r>
      <rPr>
        <i/>
        <sz val="8"/>
        <rFont val="Verdana"/>
        <family val="2"/>
      </rPr>
      <t>with no future benefits</t>
    </r>
    <r>
      <rPr>
        <sz val="8"/>
        <rFont val="Verdana"/>
        <family val="2"/>
      </rPr>
      <t xml:space="preserve"> [includes tax expense]</t>
    </r>
  </si>
  <si>
    <t>Change in soft equity expected based on sales growth</t>
  </si>
  <si>
    <t>Plus: Change in soft equity expected based on sales growth</t>
  </si>
  <si>
    <t>Soft component expected based on sales growth</t>
  </si>
  <si>
    <t>Soft component of earnings relative to sales</t>
  </si>
  <si>
    <t>Soft component of earnings relative to reported earnings</t>
  </si>
  <si>
    <t>Income statement</t>
  </si>
  <si>
    <t>Balance sheet</t>
  </si>
  <si>
    <t>Soft component of equity relative to reported equity</t>
  </si>
  <si>
    <t>Check: Hard earnings summary - hard earnings detailed = 0</t>
  </si>
  <si>
    <t>Soft receivables</t>
  </si>
  <si>
    <t>Deferred revenues: Assumed soft</t>
  </si>
  <si>
    <t>Trend of soft component of equity relative to sales</t>
  </si>
  <si>
    <t>Other hard assets</t>
  </si>
  <si>
    <t>Other hard liabilities [Enter as positive number.]</t>
  </si>
  <si>
    <t>Investment expenditures</t>
  </si>
  <si>
    <t>= Investment expenditures</t>
  </si>
  <si>
    <t>Less: Investment expenditures</t>
  </si>
  <si>
    <t>Hard enterprise margin before investment expenditures</t>
  </si>
  <si>
    <r>
      <t>= Hard enterprise income</t>
    </r>
    <r>
      <rPr>
        <i/>
        <sz val="8"/>
        <rFont val="Verdana"/>
        <family val="2"/>
      </rPr>
      <t xml:space="preserve"> before investment expenditures</t>
    </r>
  </si>
  <si>
    <t>New metric: Hard margins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</si>
</sst>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#,##0.0000_);[Red]\(#,##0.0000\)"/>
    <numFmt numFmtId="166" formatCode="#,##0.00%_);[Red]\(#,##0.00%\)"/>
    <numFmt numFmtId="167" formatCode="#,##0.00\d_);[Red]\(#,##0.00\d\)"/>
    <numFmt numFmtId="168" formatCode="#,##0.00\x_);[Red]\(#,##0.00\x\)"/>
    <numFmt numFmtId="169" formatCode="[$USD]\ #,##0.00_);[Red]\([$USD]\ #,##0.00\)"/>
  </numFmts>
  <fonts count="25" x14ac:knownFonts="1">
    <font>
      <sz val="8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b/>
      <i/>
      <sz val="8"/>
      <color indexed="12"/>
      <name val="Verdana"/>
      <family val="2"/>
    </font>
    <font>
      <sz val="8"/>
      <color indexed="9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8"/>
      <color rgb="FF006100"/>
      <name val="Verdana"/>
      <family val="2"/>
    </font>
    <font>
      <sz val="8"/>
      <color rgb="FF9C0006"/>
      <name val="Verdana"/>
      <family val="2"/>
    </font>
    <font>
      <sz val="8"/>
      <color rgb="FF9C6500"/>
      <name val="Verdana"/>
      <family val="2"/>
    </font>
    <font>
      <sz val="8"/>
      <color rgb="FF3F3F76"/>
      <name val="Verdana"/>
      <family val="2"/>
    </font>
    <font>
      <b/>
      <sz val="8"/>
      <color rgb="FF3F3F3F"/>
      <name val="Verdana"/>
      <family val="2"/>
    </font>
    <font>
      <b/>
      <sz val="8"/>
      <color rgb="FFFA7D00"/>
      <name val="Verdana"/>
      <family val="2"/>
    </font>
    <font>
      <sz val="8"/>
      <color rgb="FFFA7D00"/>
      <name val="Verdana"/>
      <family val="2"/>
    </font>
    <font>
      <b/>
      <sz val="8"/>
      <color theme="0"/>
      <name val="Verdana"/>
      <family val="2"/>
    </font>
    <font>
      <sz val="8"/>
      <color rgb="FFFF0000"/>
      <name val="Verdana"/>
      <family val="2"/>
    </font>
    <font>
      <i/>
      <sz val="8"/>
      <color rgb="FF7F7F7F"/>
      <name val="Verdana"/>
      <family val="2"/>
    </font>
    <font>
      <b/>
      <sz val="8"/>
      <color theme="1"/>
      <name val="Verdana"/>
      <family val="2"/>
    </font>
    <font>
      <sz val="8"/>
      <color theme="0"/>
      <name val="Verdana"/>
      <family val="2"/>
    </font>
    <font>
      <i/>
      <sz val="8"/>
      <name val="Verdana"/>
      <family val="2"/>
    </font>
    <font>
      <u/>
      <sz val="8"/>
      <color indexed="12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165" fontId="2" fillId="0" borderId="0" applyFill="0" applyBorder="0" applyProtection="0"/>
    <xf numFmtId="164" fontId="2" fillId="0" borderId="0" applyFill="0" applyBorder="0" applyProtection="0"/>
    <xf numFmtId="167" fontId="3" fillId="0" borderId="0" applyFill="0" applyBorder="0" applyProtection="0"/>
    <xf numFmtId="168" fontId="3" fillId="0" borderId="0" applyFill="0" applyBorder="0" applyProtection="0"/>
    <xf numFmtId="40" fontId="3" fillId="0" borderId="0" applyFill="0" applyBorder="0" applyProtection="0"/>
    <xf numFmtId="166" fontId="3" fillId="0" borderId="0" applyFill="0" applyBorder="0" applyProtection="0"/>
    <xf numFmtId="0" fontId="3" fillId="0" borderId="0" applyNumberFormat="0" applyFill="0" applyBorder="0" applyProtection="0"/>
    <xf numFmtId="1" fontId="2" fillId="0" borderId="0" applyFill="0" applyBorder="0" applyProtection="0">
      <alignment horizontal="center"/>
    </xf>
    <xf numFmtId="167" fontId="2" fillId="0" borderId="0" applyFill="0" applyBorder="0" applyProtection="0"/>
    <xf numFmtId="0" fontId="4" fillId="0" borderId="0" applyNumberFormat="0" applyFill="0" applyBorder="0" applyProtection="0"/>
    <xf numFmtId="0" fontId="2" fillId="0" borderId="0" applyNumberFormat="0" applyFill="0" applyBorder="0" applyAlignment="0" applyProtection="0"/>
    <xf numFmtId="168" fontId="2" fillId="0" borderId="0" applyFill="0" applyBorder="0" applyProtection="0"/>
    <xf numFmtId="40" fontId="2" fillId="0" borderId="0" applyFill="0" applyBorder="0" applyProtection="0"/>
    <xf numFmtId="166" fontId="2" fillId="0" borderId="0" applyFill="0" applyBorder="0" applyProtection="0"/>
    <xf numFmtId="0" fontId="2" fillId="0" borderId="0" applyNumberFormat="0" applyFill="0" applyBorder="0" applyProtection="0"/>
    <xf numFmtId="169" fontId="2" fillId="0" borderId="0" applyFill="0" applyBorder="0" applyProtection="0">
      <alignment horizontal="right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0" applyNumberFormat="0" applyAlignment="0" applyProtection="0"/>
    <xf numFmtId="0" fontId="15" fillId="10" borderId="11" applyNumberFormat="0" applyAlignment="0" applyProtection="0"/>
    <xf numFmtId="0" fontId="16" fillId="10" borderId="10" applyNumberFormat="0" applyAlignment="0" applyProtection="0"/>
    <xf numFmtId="0" fontId="17" fillId="0" borderId="12" applyNumberFormat="0" applyFill="0" applyAlignment="0" applyProtection="0"/>
    <xf numFmtId="0" fontId="18" fillId="11" borderId="13" applyNumberFormat="0" applyAlignment="0" applyProtection="0"/>
    <xf numFmtId="0" fontId="19" fillId="0" borderId="0" applyNumberFormat="0" applyFill="0" applyBorder="0" applyAlignment="0" applyProtection="0"/>
    <xf numFmtId="0" fontId="2" fillId="12" borderId="14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4" fillId="2" borderId="0" xfId="10" applyFill="1"/>
    <xf numFmtId="40" fontId="3" fillId="0" borderId="0" xfId="5"/>
    <xf numFmtId="0" fontId="0" fillId="2" borderId="0" xfId="0" applyFill="1"/>
    <xf numFmtId="0" fontId="0" fillId="0" borderId="1" xfId="0" applyBorder="1"/>
    <xf numFmtId="40" fontId="3" fillId="0" borderId="2" xfId="5" applyBorder="1"/>
    <xf numFmtId="0" fontId="0" fillId="0" borderId="2" xfId="0" applyBorder="1"/>
    <xf numFmtId="0" fontId="0" fillId="0" borderId="0" xfId="0" applyBorder="1"/>
    <xf numFmtId="0" fontId="4" fillId="2" borderId="0" xfId="10" applyFill="1" applyBorder="1"/>
    <xf numFmtId="40" fontId="3" fillId="0" borderId="0" xfId="5" applyFill="1" applyBorder="1"/>
    <xf numFmtId="40" fontId="3" fillId="0" borderId="0" xfId="5" applyBorder="1"/>
    <xf numFmtId="40" fontId="3" fillId="0" borderId="1" xfId="5" applyBorder="1"/>
    <xf numFmtId="40" fontId="2" fillId="0" borderId="0" xfId="13"/>
    <xf numFmtId="166" fontId="3" fillId="0" borderId="2" xfId="6" applyBorder="1"/>
    <xf numFmtId="0" fontId="0" fillId="0" borderId="3" xfId="0" applyBorder="1"/>
    <xf numFmtId="40" fontId="5" fillId="3" borderId="3" xfId="13" applyFont="1" applyFill="1" applyBorder="1"/>
    <xf numFmtId="0" fontId="0" fillId="2" borderId="0" xfId="0" applyFill="1" applyBorder="1"/>
    <xf numFmtId="166" fontId="2" fillId="0" borderId="1" xfId="14" applyBorder="1"/>
    <xf numFmtId="167" fontId="3" fillId="0" borderId="0" xfId="3"/>
    <xf numFmtId="40" fontId="2" fillId="0" borderId="0" xfId="13" applyAlignment="1">
      <alignment horizontal="right"/>
    </xf>
    <xf numFmtId="166" fontId="3" fillId="0" borderId="0" xfId="6"/>
    <xf numFmtId="0" fontId="0" fillId="0" borderId="0" xfId="0" applyAlignment="1">
      <alignment horizontal="right"/>
    </xf>
    <xf numFmtId="166" fontId="2" fillId="0" borderId="0" xfId="14"/>
    <xf numFmtId="40" fontId="2" fillId="0" borderId="2" xfId="13" applyBorder="1"/>
    <xf numFmtId="0" fontId="6" fillId="0" borderId="0" xfId="0" applyFont="1"/>
    <xf numFmtId="40" fontId="2" fillId="0" borderId="1" xfId="13" applyBorder="1"/>
    <xf numFmtId="40" fontId="2" fillId="0" borderId="0" xfId="13" applyFont="1"/>
    <xf numFmtId="40" fontId="2" fillId="0" borderId="0" xfId="13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Fill="1"/>
    <xf numFmtId="40" fontId="2" fillId="0" borderId="2" xfId="13" quotePrefix="1" applyFill="1" applyBorder="1"/>
    <xf numFmtId="40" fontId="2" fillId="0" borderId="0" xfId="13" applyFill="1" applyBorder="1"/>
    <xf numFmtId="0" fontId="0" fillId="0" borderId="4" xfId="0" applyBorder="1"/>
    <xf numFmtId="40" fontId="2" fillId="0" borderId="4" xfId="13" applyBorder="1"/>
    <xf numFmtId="0" fontId="4" fillId="2" borderId="5" xfId="10" applyFill="1" applyBorder="1"/>
    <xf numFmtId="0" fontId="0" fillId="2" borderId="5" xfId="0" applyFill="1" applyBorder="1"/>
    <xf numFmtId="0" fontId="0" fillId="0" borderId="0" xfId="0" applyFill="1" applyBorder="1"/>
    <xf numFmtId="0" fontId="4" fillId="0" borderId="0" xfId="10" applyFill="1" applyBorder="1"/>
    <xf numFmtId="1" fontId="2" fillId="2" borderId="0" xfId="8" applyFill="1">
      <alignment horizontal="center"/>
    </xf>
    <xf numFmtId="40" fontId="2" fillId="0" borderId="6" xfId="13" applyBorder="1"/>
    <xf numFmtId="40" fontId="2" fillId="2" borderId="5" xfId="13" applyFill="1" applyBorder="1"/>
    <xf numFmtId="0" fontId="0" fillId="0" borderId="6" xfId="0" applyBorder="1"/>
    <xf numFmtId="40" fontId="0" fillId="0" borderId="6" xfId="0" applyNumberFormat="1" applyBorder="1"/>
    <xf numFmtId="40" fontId="0" fillId="0" borderId="1" xfId="0" applyNumberFormat="1" applyBorder="1"/>
    <xf numFmtId="40" fontId="2" fillId="0" borderId="1" xfId="13" applyFont="1" applyFill="1" applyBorder="1" applyAlignment="1">
      <alignment wrapText="1"/>
    </xf>
    <xf numFmtId="166" fontId="2" fillId="0" borderId="0" xfId="14" applyBorder="1"/>
    <xf numFmtId="40" fontId="5" fillId="3" borderId="1" xfId="13" applyFont="1" applyFill="1" applyBorder="1"/>
    <xf numFmtId="0" fontId="0" fillId="0" borderId="0" xfId="0" quotePrefix="1" applyBorder="1"/>
    <xf numFmtId="0" fontId="4" fillId="4" borderId="1" xfId="10" applyFill="1" applyBorder="1"/>
    <xf numFmtId="0" fontId="0" fillId="5" borderId="1" xfId="0" applyFill="1" applyBorder="1"/>
    <xf numFmtId="40" fontId="2" fillId="5" borderId="1" xfId="13" applyFill="1" applyBorder="1"/>
    <xf numFmtId="40" fontId="2" fillId="0" borderId="1" xfId="13" quotePrefix="1" applyFill="1" applyBorder="1"/>
    <xf numFmtId="40" fontId="2" fillId="0" borderId="1" xfId="13" applyFill="1" applyBorder="1"/>
    <xf numFmtId="40" fontId="2" fillId="0" borderId="0" xfId="13" quotePrefix="1" applyFill="1" applyBorder="1"/>
    <xf numFmtId="166" fontId="2" fillId="0" borderId="2" xfId="14" applyBorder="1"/>
    <xf numFmtId="40" fontId="2" fillId="0" borderId="0" xfId="13" applyFill="1" applyBorder="1" applyAlignment="1">
      <alignment horizontal="left" indent="1"/>
    </xf>
    <xf numFmtId="40" fontId="2" fillId="0" borderId="4" xfId="13" applyFill="1" applyBorder="1"/>
    <xf numFmtId="0" fontId="4" fillId="4" borderId="3" xfId="10" applyFill="1" applyBorder="1"/>
    <xf numFmtId="0" fontId="4" fillId="0" borderId="0" xfId="10"/>
    <xf numFmtId="40" fontId="3" fillId="0" borderId="2" xfId="5" applyFill="1" applyBorder="1"/>
    <xf numFmtId="40" fontId="2" fillId="0" borderId="6" xfId="13" quotePrefix="1" applyFill="1" applyBorder="1"/>
    <xf numFmtId="40" fontId="2" fillId="0" borderId="1" xfId="13" quotePrefix="1" applyBorder="1"/>
    <xf numFmtId="0" fontId="4" fillId="2" borderId="0" xfId="10" applyFont="1" applyFill="1"/>
    <xf numFmtId="0" fontId="4" fillId="0" borderId="0" xfId="10" applyFont="1" applyFill="1"/>
    <xf numFmtId="0" fontId="4" fillId="0" borderId="0" xfId="10" applyFont="1" applyFill="1" applyBorder="1"/>
    <xf numFmtId="40" fontId="3" fillId="0" borderId="0" xfId="5" applyFont="1" applyFill="1" applyBorder="1"/>
    <xf numFmtId="0" fontId="4" fillId="2" borderId="0" xfId="10" applyFont="1" applyFill="1" applyBorder="1"/>
    <xf numFmtId="0" fontId="4" fillId="4" borderId="3" xfId="10" applyFont="1" applyFill="1" applyBorder="1"/>
    <xf numFmtId="0" fontId="4" fillId="5" borderId="1" xfId="10" quotePrefix="1" applyFont="1" applyFill="1" applyBorder="1"/>
    <xf numFmtId="40" fontId="3" fillId="0" borderId="0" xfId="5" applyFont="1"/>
    <xf numFmtId="40" fontId="2" fillId="0" borderId="2" xfId="13" quotePrefix="1" applyFont="1" applyBorder="1"/>
    <xf numFmtId="40" fontId="2" fillId="0" borderId="6" xfId="13" applyFont="1" applyFill="1" applyBorder="1"/>
    <xf numFmtId="0" fontId="4" fillId="4" borderId="1" xfId="10" applyFont="1" applyFill="1" applyBorder="1"/>
    <xf numFmtId="40" fontId="2" fillId="0" borderId="2" xfId="13" quotePrefix="1" applyBorder="1"/>
    <xf numFmtId="40" fontId="2" fillId="0" borderId="2" xfId="13" applyFont="1" applyBorder="1"/>
    <xf numFmtId="0" fontId="0" fillId="0" borderId="2" xfId="0" applyBorder="1" applyAlignment="1">
      <alignment horizontal="right"/>
    </xf>
    <xf numFmtId="167" fontId="2" fillId="0" borderId="0" xfId="9"/>
    <xf numFmtId="40" fontId="2" fillId="0" borderId="6" xfId="13" applyFill="1" applyBorder="1"/>
    <xf numFmtId="40" fontId="0" fillId="0" borderId="0" xfId="13" applyFont="1"/>
    <xf numFmtId="40" fontId="0" fillId="0" borderId="2" xfId="13" applyFont="1" applyBorder="1"/>
    <xf numFmtId="40" fontId="0" fillId="0" borderId="0" xfId="13" applyFont="1" applyFill="1" applyBorder="1"/>
    <xf numFmtId="0" fontId="4" fillId="37" borderId="0" xfId="10" applyFill="1" applyBorder="1"/>
    <xf numFmtId="0" fontId="0" fillId="37" borderId="0" xfId="0" applyFill="1" applyBorder="1"/>
    <xf numFmtId="40" fontId="2" fillId="0" borderId="0" xfId="13" applyFill="1"/>
    <xf numFmtId="0" fontId="4" fillId="0" borderId="0" xfId="10" applyFill="1" applyAlignment="1"/>
    <xf numFmtId="166" fontId="2" fillId="0" borderId="0" xfId="14" applyFill="1" applyBorder="1"/>
    <xf numFmtId="40" fontId="0" fillId="0" borderId="2" xfId="13" applyFont="1" applyFill="1" applyBorder="1"/>
    <xf numFmtId="2" fontId="4" fillId="37" borderId="0" xfId="10" applyNumberFormat="1" applyFill="1" applyBorder="1" applyAlignment="1"/>
    <xf numFmtId="40" fontId="0" fillId="0" borderId="3" xfId="13" applyFont="1" applyBorder="1"/>
    <xf numFmtId="166" fontId="2" fillId="38" borderId="0" xfId="14" applyFill="1" applyAlignment="1"/>
    <xf numFmtId="1" fontId="0" fillId="4" borderId="3" xfId="0" applyNumberFormat="1" applyFill="1" applyBorder="1"/>
    <xf numFmtId="1" fontId="0" fillId="0" borderId="0" xfId="0" applyNumberFormat="1"/>
    <xf numFmtId="40" fontId="3" fillId="0" borderId="0" xfId="5" applyBorder="1" applyAlignment="1"/>
    <xf numFmtId="2" fontId="3" fillId="0" borderId="0" xfId="7" applyNumberFormat="1" applyAlignment="1"/>
    <xf numFmtId="1" fontId="2" fillId="2" borderId="0" xfId="8" applyFill="1" applyAlignment="1">
      <alignment horizontal="center"/>
    </xf>
    <xf numFmtId="1" fontId="2" fillId="2" borderId="5" xfId="8" applyFill="1" applyBorder="1" applyAlignment="1">
      <alignment horizontal="center"/>
    </xf>
    <xf numFmtId="1" fontId="2" fillId="4" borderId="3" xfId="8" applyFill="1" applyBorder="1" applyAlignment="1">
      <alignment horizontal="center"/>
    </xf>
    <xf numFmtId="1" fontId="2" fillId="37" borderId="0" xfId="8" applyFill="1" applyBorder="1" applyAlignment="1">
      <alignment horizontal="center"/>
    </xf>
    <xf numFmtId="40" fontId="4" fillId="39" borderId="1" xfId="13" applyFont="1" applyFill="1" applyBorder="1"/>
    <xf numFmtId="0" fontId="0" fillId="39" borderId="1" xfId="0" applyFill="1" applyBorder="1"/>
    <xf numFmtId="166" fontId="2" fillId="39" borderId="1" xfId="14" applyFill="1" applyBorder="1"/>
    <xf numFmtId="40" fontId="0" fillId="0" borderId="2" xfId="13" quotePrefix="1" applyFont="1" applyFill="1" applyBorder="1"/>
    <xf numFmtId="166" fontId="2" fillId="0" borderId="1" xfId="14" applyBorder="1" applyAlignment="1"/>
    <xf numFmtId="0" fontId="0" fillId="37" borderId="0" xfId="0" applyFill="1"/>
    <xf numFmtId="0" fontId="2" fillId="0" borderId="1" xfId="15" applyBorder="1" applyAlignment="1"/>
  </cellXfs>
  <cellStyles count="64">
    <cellStyle name="20% - Accent1" xfId="40" builtinId="30" hidden="1" customBuiltin="1"/>
    <cellStyle name="20% - Accent2" xfId="44" builtinId="34" hidden="1" customBuiltin="1"/>
    <cellStyle name="20% - Accent3" xfId="48" builtinId="38" hidden="1" customBuiltin="1"/>
    <cellStyle name="20% - Accent4" xfId="52" builtinId="42" hidden="1" customBuiltin="1"/>
    <cellStyle name="20% - Accent5" xfId="56" builtinId="46" hidden="1" customBuiltin="1"/>
    <cellStyle name="20% - Accent6" xfId="60" builtinId="50" hidden="1" customBuiltin="1"/>
    <cellStyle name="40% - Accent1" xfId="41" builtinId="31" hidden="1" customBuiltin="1"/>
    <cellStyle name="40% - Accent2" xfId="45" builtinId="35" hidden="1" customBuiltin="1"/>
    <cellStyle name="40% - Accent3" xfId="49" builtinId="39" hidden="1" customBuiltin="1"/>
    <cellStyle name="40% - Accent4" xfId="53" builtinId="43" hidden="1" customBuiltin="1"/>
    <cellStyle name="40% - Accent5" xfId="57" builtinId="47" hidden="1" customBuiltin="1"/>
    <cellStyle name="40% - Accent6" xfId="61" builtinId="51" hidden="1" customBuiltin="1"/>
    <cellStyle name="60% - Accent1" xfId="42" builtinId="32" hidden="1" customBuiltin="1"/>
    <cellStyle name="60% - Accent2" xfId="46" builtinId="36" hidden="1" customBuiltin="1"/>
    <cellStyle name="60% - Accent3" xfId="50" builtinId="40" hidden="1" customBuiltin="1"/>
    <cellStyle name="60% - Accent4" xfId="54" builtinId="44" hidden="1" customBuiltin="1"/>
    <cellStyle name="60% - Accent5" xfId="58" builtinId="48" hidden="1" customBuiltin="1"/>
    <cellStyle name="60% - Accent6" xfId="62" builtinId="52" hidden="1" customBuiltin="1"/>
    <cellStyle name="Accent1" xfId="39" builtinId="29" hidden="1" customBuiltin="1"/>
    <cellStyle name="Accent2" xfId="43" builtinId="33" hidden="1" customBuiltin="1"/>
    <cellStyle name="Accent3" xfId="47" builtinId="37" hidden="1" customBuiltin="1"/>
    <cellStyle name="Accent4" xfId="51" builtinId="41" hidden="1" customBuiltin="1"/>
    <cellStyle name="Accent5" xfId="55" builtinId="45" hidden="1" customBuiltin="1"/>
    <cellStyle name="Accent6" xfId="59" builtinId="49" hidden="1" customBuiltin="1"/>
    <cellStyle name="Bad" xfId="28" builtinId="27" hidden="1" customBuiltin="1"/>
    <cellStyle name="Calculation" xfId="32" builtinId="22" hidden="1" customBuiltin="1"/>
    <cellStyle name="Check Cell" xfId="34" builtinId="23" hidden="1" customBuiltin="1"/>
    <cellStyle name="Comma" xfId="17" builtinId="3" hidden="1" customBuiltin="1"/>
    <cellStyle name="Comma [0]" xfId="18" builtinId="6" hidden="1" customBuiltin="1"/>
    <cellStyle name="Currency" xfId="19" builtinId="4" hidden="1" customBuiltin="1"/>
    <cellStyle name="Currency [0]" xfId="20" builtinId="7" hidden="1" customBuiltin="1"/>
    <cellStyle name="Explanatory Text" xfId="37" builtinId="53" hidden="1" customBuiltin="1"/>
    <cellStyle name="g4Num" xfId="1"/>
    <cellStyle name="g4Percent" xfId="2"/>
    <cellStyle name="gAsDays" xfId="3"/>
    <cellStyle name="gAsMultiple" xfId="4"/>
    <cellStyle name="gAsNum" xfId="5"/>
    <cellStyle name="gAsPercent" xfId="6"/>
    <cellStyle name="gAsText" xfId="7"/>
    <cellStyle name="gColumnTop" xfId="8"/>
    <cellStyle name="gDays" xfId="9"/>
    <cellStyle name="gHeading" xfId="10"/>
    <cellStyle name="gLastStep" xfId="11"/>
    <cellStyle name="gMultiple" xfId="12"/>
    <cellStyle name="gNum" xfId="13"/>
    <cellStyle name="Good" xfId="27" builtinId="26" hidden="1" customBuiltin="1"/>
    <cellStyle name="gPercent" xfId="14"/>
    <cellStyle name="gText" xfId="15"/>
    <cellStyle name="gUSD" xfId="16"/>
    <cellStyle name="Heading 1" xfId="23" builtinId="16" hidden="1" customBuiltin="1"/>
    <cellStyle name="Heading 2" xfId="24" builtinId="17" hidden="1" customBuiltin="1"/>
    <cellStyle name="Heading 3" xfId="25" builtinId="18" hidden="1" customBuiltin="1"/>
    <cellStyle name="Heading 4" xfId="26" builtinId="19" hidden="1" customBuiltin="1"/>
    <cellStyle name="Hyperlink" xfId="63" builtinId="8" customBuiltin="1"/>
    <cellStyle name="Input" xfId="30" builtinId="20" hidden="1" customBuiltin="1"/>
    <cellStyle name="Linked Cell" xfId="33" builtinId="24" hidden="1" customBuiltin="1"/>
    <cellStyle name="Neutral" xfId="29" builtinId="28" hidden="1" customBuiltin="1"/>
    <cellStyle name="Normal" xfId="0" builtinId="0" customBuiltin="1"/>
    <cellStyle name="Note" xfId="36" builtinId="10" hidden="1" customBuiltin="1"/>
    <cellStyle name="Output" xfId="31" builtinId="21" hidden="1" customBuiltin="1"/>
    <cellStyle name="Percent" xfId="21" builtinId="5" hidden="1" customBuiltin="1"/>
    <cellStyle name="Title" xfId="22" builtinId="15" hidden="1" customBuiltin="1"/>
    <cellStyle name="Total" xfId="38" builtinId="25" hidden="1" customBuiltin="1"/>
    <cellStyle name="Warning Text" xfId="35" builtinId="11" hidden="1" customBuiltin="1"/>
  </cellStyles>
  <dxfs count="2">
    <dxf>
      <font>
        <b val="0"/>
        <i val="0"/>
        <color rgb="FFFFFFFF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9"/>
      </font>
      <fill>
        <patternFill patternType="none"/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47625</xdr:rowOff>
    </xdr:from>
    <xdr:to>
      <xdr:col>0</xdr:col>
      <xdr:colOff>3219450</xdr:colOff>
      <xdr:row>3</xdr:row>
      <xdr:rowOff>9525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85825" y="47625"/>
          <a:ext cx="2333625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Adjusted Cash Earnings (ACE)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© Dan Gode and James Ohlson</a:t>
          </a:r>
          <a:endParaRPr lang="en-US"/>
        </a:p>
      </xdr:txBody>
    </xdr:sp>
    <xdr:clientData/>
  </xdr:twoCellAnchor>
  <xdr:twoCellAnchor editAs="oneCell">
    <xdr:from>
      <xdr:col>0</xdr:col>
      <xdr:colOff>38100</xdr:colOff>
      <xdr:row>3</xdr:row>
      <xdr:rowOff>28575</xdr:rowOff>
    </xdr:from>
    <xdr:to>
      <xdr:col>4</xdr:col>
      <xdr:colOff>323850</xdr:colOff>
      <xdr:row>8</xdr:row>
      <xdr:rowOff>104775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38100" y="428625"/>
          <a:ext cx="731520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Enter data in all cells with green numbers, and only such cells. (Some green cells have formulas set up for simulations; overwrite them with your numbers.) Some spreadsheets require lines to be read out of order. 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"Click below" steps in the rightmost column indicate the sequence in which the lines should be read logically. Clicking a number will take you to the next number in sequence. These steps have been elaborated upon in the accompanying document.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</sheetPr>
  <dimension ref="A9:F114"/>
  <sheetViews>
    <sheetView showGridLines="0" tabSelected="1" zoomScaleNormal="100" workbookViewId="0"/>
  </sheetViews>
  <sheetFormatPr defaultRowHeight="10.5" x14ac:dyDescent="0.15"/>
  <cols>
    <col min="1" max="1" width="84.140625" bestFit="1" customWidth="1"/>
    <col min="2" max="2" width="2.42578125" customWidth="1"/>
    <col min="3" max="5" width="9.42578125" bestFit="1" customWidth="1"/>
    <col min="6" max="6" width="2" bestFit="1" customWidth="1"/>
    <col min="7" max="7" width="4.7109375" bestFit="1" customWidth="1"/>
    <col min="8" max="9" width="4" bestFit="1" customWidth="1"/>
  </cols>
  <sheetData>
    <row r="9" spans="1:6" ht="11.25" thickBot="1" x14ac:dyDescent="0.2">
      <c r="A9" s="4"/>
      <c r="B9" s="4"/>
      <c r="C9" s="4"/>
      <c r="D9" s="4"/>
      <c r="E9" s="4"/>
    </row>
    <row r="10" spans="1:6" ht="12" thickTop="1" thickBot="1" x14ac:dyDescent="0.2">
      <c r="A10" s="49" t="s">
        <v>25</v>
      </c>
      <c r="B10" s="28"/>
      <c r="C10" s="28"/>
      <c r="D10" s="28"/>
      <c r="E10" s="28"/>
      <c r="F10" s="24" t="s">
        <v>7</v>
      </c>
    </row>
    <row r="11" spans="1:6" ht="11.25" thickTop="1" x14ac:dyDescent="0.15">
      <c r="A11" s="67" t="s">
        <v>10</v>
      </c>
      <c r="B11" s="16"/>
      <c r="C11" s="95" t="s">
        <v>0</v>
      </c>
      <c r="D11" s="95" t="s">
        <v>1</v>
      </c>
      <c r="E11" s="95" t="s">
        <v>2</v>
      </c>
      <c r="F11" s="24"/>
    </row>
    <row r="12" spans="1:6" x14ac:dyDescent="0.15">
      <c r="A12" s="64" t="s">
        <v>66</v>
      </c>
      <c r="B12" s="30"/>
    </row>
    <row r="13" spans="1:6" x14ac:dyDescent="0.15">
      <c r="A13" s="2" t="s">
        <v>3</v>
      </c>
      <c r="C13" s="10">
        <f>C30*20%</f>
        <v>200</v>
      </c>
      <c r="D13" s="10">
        <f>D30*20%</f>
        <v>214</v>
      </c>
      <c r="E13" s="10">
        <f>E30*20%</f>
        <v>228.98000000000002</v>
      </c>
    </row>
    <row r="14" spans="1:6" x14ac:dyDescent="0.15">
      <c r="A14" s="2" t="s">
        <v>4</v>
      </c>
      <c r="C14" s="10">
        <f>C30*5%</f>
        <v>50</v>
      </c>
      <c r="D14" s="10">
        <f>D30*5%</f>
        <v>53.5</v>
      </c>
      <c r="E14" s="10">
        <f>E30*5%</f>
        <v>57.245000000000005</v>
      </c>
    </row>
    <row r="15" spans="1:6" x14ac:dyDescent="0.15">
      <c r="A15" s="2" t="s">
        <v>21</v>
      </c>
      <c r="C15" s="10">
        <f>Soft!C14</f>
        <v>136.98630136986299</v>
      </c>
      <c r="D15" s="10">
        <f>Soft!D14</f>
        <v>164.16438356164383</v>
      </c>
      <c r="E15" s="10">
        <f>Soft!E14</f>
        <v>169.38246575342467</v>
      </c>
    </row>
    <row r="16" spans="1:6" x14ac:dyDescent="0.15">
      <c r="A16" s="70" t="s">
        <v>79</v>
      </c>
      <c r="C16" s="10">
        <f>C30*12%</f>
        <v>120</v>
      </c>
      <c r="D16" s="10">
        <f>D30*12%</f>
        <v>128.4</v>
      </c>
      <c r="E16" s="10">
        <f>E30*12%</f>
        <v>137.38800000000001</v>
      </c>
    </row>
    <row r="17" spans="1:5" x14ac:dyDescent="0.15">
      <c r="A17" s="9" t="s">
        <v>98</v>
      </c>
      <c r="B17" s="7"/>
      <c r="C17" s="10">
        <f>C30*9%</f>
        <v>90</v>
      </c>
      <c r="D17" s="10">
        <f>D30*9%</f>
        <v>96.3</v>
      </c>
      <c r="E17" s="10">
        <f>E30*9%</f>
        <v>103.04100000000001</v>
      </c>
    </row>
    <row r="18" spans="1:5" x14ac:dyDescent="0.15">
      <c r="A18" s="31" t="s">
        <v>8</v>
      </c>
      <c r="B18" s="6"/>
      <c r="C18" s="23">
        <f>SUM(C13:C17)</f>
        <v>596.98630136986299</v>
      </c>
      <c r="D18" s="23">
        <f>SUM(D13:D17)</f>
        <v>656.36438356164376</v>
      </c>
      <c r="E18" s="23">
        <f>SUM(E13:E17)</f>
        <v>696.03646575342475</v>
      </c>
    </row>
    <row r="19" spans="1:5" x14ac:dyDescent="0.15">
      <c r="A19" s="65" t="s">
        <v>67</v>
      </c>
      <c r="B19" s="30"/>
      <c r="C19" s="30"/>
      <c r="D19" s="30"/>
      <c r="E19" s="30"/>
    </row>
    <row r="20" spans="1:5" x14ac:dyDescent="0.15">
      <c r="A20" s="66" t="s">
        <v>63</v>
      </c>
      <c r="C20" s="10">
        <f>C30*10%</f>
        <v>100</v>
      </c>
      <c r="D20" s="10">
        <f>D30*10%</f>
        <v>107</v>
      </c>
      <c r="E20" s="10">
        <f>E30*10%</f>
        <v>114.49000000000001</v>
      </c>
    </row>
    <row r="21" spans="1:5" x14ac:dyDescent="0.15">
      <c r="A21" s="66" t="s">
        <v>68</v>
      </c>
      <c r="C21" s="10">
        <f>C30*14%</f>
        <v>140</v>
      </c>
      <c r="D21" s="10">
        <f>D30*14%</f>
        <v>149.80000000000001</v>
      </c>
      <c r="E21" s="10">
        <f>E30*14%</f>
        <v>160.28600000000003</v>
      </c>
    </row>
    <row r="22" spans="1:5" x14ac:dyDescent="0.15">
      <c r="A22" s="66" t="s">
        <v>64</v>
      </c>
      <c r="C22" s="10">
        <f>C30*20%</f>
        <v>200</v>
      </c>
      <c r="D22" s="10">
        <f>D30*20%</f>
        <v>214</v>
      </c>
      <c r="E22" s="10">
        <f>E30*20%</f>
        <v>228.98000000000002</v>
      </c>
    </row>
    <row r="23" spans="1:5" x14ac:dyDescent="0.15">
      <c r="A23" s="66" t="s">
        <v>65</v>
      </c>
      <c r="C23" s="10">
        <f>C30*10%</f>
        <v>100</v>
      </c>
      <c r="D23" s="10">
        <f>D30*10%</f>
        <v>107</v>
      </c>
      <c r="E23" s="10">
        <f>E30*10%</f>
        <v>114.49000000000001</v>
      </c>
    </row>
    <row r="24" spans="1:5" x14ac:dyDescent="0.15">
      <c r="A24" s="66" t="s">
        <v>99</v>
      </c>
      <c r="B24" s="7"/>
      <c r="C24" s="10">
        <f>C30*3%</f>
        <v>30</v>
      </c>
      <c r="D24" s="10">
        <f>D30*3%</f>
        <v>32.1</v>
      </c>
      <c r="E24" s="10">
        <f>E30*3%</f>
        <v>34.347000000000001</v>
      </c>
    </row>
    <row r="25" spans="1:5" x14ac:dyDescent="0.15">
      <c r="A25" s="31" t="s">
        <v>9</v>
      </c>
      <c r="B25" s="6"/>
      <c r="C25" s="23">
        <f>SUM(C20:C24)</f>
        <v>570</v>
      </c>
      <c r="D25" s="23">
        <f>SUM(D20:D24)</f>
        <v>609.9</v>
      </c>
      <c r="E25" s="23">
        <f>SUM(E20:E24)</f>
        <v>652.59300000000007</v>
      </c>
    </row>
    <row r="26" spans="1:5" x14ac:dyDescent="0.15">
      <c r="A26" s="57" t="s">
        <v>54</v>
      </c>
      <c r="B26" s="33"/>
      <c r="C26" s="34">
        <f>C18-C25</f>
        <v>26.986301369862986</v>
      </c>
      <c r="D26" s="34">
        <f>D18-D25</f>
        <v>46.464383561643785</v>
      </c>
      <c r="E26" s="34">
        <f>E18-E25</f>
        <v>43.443465753424675</v>
      </c>
    </row>
    <row r="27" spans="1:5" ht="11.25" thickBot="1" x14ac:dyDescent="0.2">
      <c r="A27" s="53" t="s">
        <v>10</v>
      </c>
      <c r="B27" s="4"/>
      <c r="C27" s="11"/>
      <c r="D27" s="25">
        <f>D26-C26</f>
        <v>19.4780821917808</v>
      </c>
      <c r="E27" s="25">
        <f>E26-D26</f>
        <v>-3.0209178082191102</v>
      </c>
    </row>
    <row r="28" spans="1:5" ht="11.25" thickTop="1" x14ac:dyDescent="0.15">
      <c r="A28" s="35" t="s">
        <v>22</v>
      </c>
      <c r="B28" s="36"/>
      <c r="C28" s="96" t="str">
        <f>C11</f>
        <v>Year-2</v>
      </c>
      <c r="D28" s="96" t="str">
        <f t="shared" ref="D28:E28" si="0">D11</f>
        <v>Year-1</v>
      </c>
      <c r="E28" s="96" t="str">
        <f t="shared" si="0"/>
        <v>Year 0</v>
      </c>
    </row>
    <row r="29" spans="1:5" x14ac:dyDescent="0.15">
      <c r="A29" s="9" t="s">
        <v>52</v>
      </c>
      <c r="B29" s="7"/>
      <c r="C29" s="7"/>
      <c r="D29" s="10">
        <f>C30*15%</f>
        <v>150</v>
      </c>
      <c r="E29" s="10">
        <f>D30*15%</f>
        <v>160.5</v>
      </c>
    </row>
    <row r="30" spans="1:5" x14ac:dyDescent="0.15">
      <c r="A30" s="9" t="s">
        <v>56</v>
      </c>
      <c r="B30" s="7"/>
      <c r="C30" s="10">
        <v>1000</v>
      </c>
      <c r="D30" s="10">
        <f>C30*(1+7%)</f>
        <v>1070</v>
      </c>
      <c r="E30" s="10">
        <f>D30*(1+7%)</f>
        <v>1144.9000000000001</v>
      </c>
    </row>
    <row r="31" spans="1:5" x14ac:dyDescent="0.15">
      <c r="A31" s="32" t="s">
        <v>55</v>
      </c>
      <c r="B31" s="27"/>
      <c r="C31" s="27"/>
      <c r="D31" s="27">
        <f>D30-C30</f>
        <v>70</v>
      </c>
      <c r="E31" s="27">
        <f>E30-D30</f>
        <v>74.900000000000091</v>
      </c>
    </row>
    <row r="32" spans="1:5" ht="11.25" thickBot="1" x14ac:dyDescent="0.2">
      <c r="A32" s="53" t="s">
        <v>23</v>
      </c>
      <c r="B32" s="4"/>
      <c r="C32" s="11"/>
      <c r="D32" s="25">
        <f>D29-D31</f>
        <v>80</v>
      </c>
      <c r="E32" s="25">
        <f>E29-E31</f>
        <v>85.599999999999909</v>
      </c>
    </row>
    <row r="33" spans="1:5" ht="11.25" thickTop="1" x14ac:dyDescent="0.15">
      <c r="A33" s="35" t="s">
        <v>11</v>
      </c>
      <c r="B33" s="36"/>
      <c r="C33" s="96" t="str">
        <f>C11</f>
        <v>Year-2</v>
      </c>
      <c r="D33" s="96" t="str">
        <f>D11</f>
        <v>Year-1</v>
      </c>
      <c r="E33" s="96" t="str">
        <f>E11</f>
        <v>Year 0</v>
      </c>
    </row>
    <row r="34" spans="1:5" x14ac:dyDescent="0.15">
      <c r="A34" s="32" t="s">
        <v>10</v>
      </c>
      <c r="B34" s="7"/>
      <c r="C34" s="10"/>
      <c r="D34" s="27">
        <f>D27</f>
        <v>19.4780821917808</v>
      </c>
      <c r="E34" s="27">
        <f>E27</f>
        <v>-3.0209178082191102</v>
      </c>
    </row>
    <row r="35" spans="1:5" x14ac:dyDescent="0.15">
      <c r="A35" s="32" t="s">
        <v>22</v>
      </c>
      <c r="B35" s="7"/>
      <c r="C35" s="10"/>
      <c r="D35" s="27">
        <f>D32</f>
        <v>80</v>
      </c>
      <c r="E35" s="27">
        <f>E32</f>
        <v>85.599999999999909</v>
      </c>
    </row>
    <row r="36" spans="1:5" ht="11.25" thickBot="1" x14ac:dyDescent="0.2">
      <c r="A36" s="52" t="s">
        <v>31</v>
      </c>
      <c r="B36" s="53"/>
      <c r="C36" s="53"/>
      <c r="D36" s="53">
        <f>SUM(D34:D35)</f>
        <v>99.4780821917808</v>
      </c>
      <c r="E36" s="53">
        <f>SUM(E34:E35)</f>
        <v>82.579082191780799</v>
      </c>
    </row>
    <row r="37" spans="1:5" ht="11.25" thickTop="1" x14ac:dyDescent="0.15">
      <c r="A37" s="54"/>
      <c r="B37" s="32"/>
      <c r="C37" s="32"/>
      <c r="D37" s="32"/>
      <c r="E37" s="32"/>
    </row>
    <row r="38" spans="1:5" ht="11.25" thickBot="1" x14ac:dyDescent="0.2">
      <c r="A38" s="52"/>
      <c r="B38" s="53"/>
      <c r="C38" s="53"/>
      <c r="D38" s="53"/>
      <c r="E38" s="53"/>
    </row>
    <row r="39" spans="1:5" ht="12" thickTop="1" thickBot="1" x14ac:dyDescent="0.2">
      <c r="A39" s="58" t="s">
        <v>50</v>
      </c>
      <c r="B39" s="29"/>
      <c r="C39" s="97" t="str">
        <f>C11</f>
        <v>Year-2</v>
      </c>
      <c r="D39" s="97" t="str">
        <f>D11</f>
        <v>Year-1</v>
      </c>
      <c r="E39" s="97" t="str">
        <f>E11</f>
        <v>Year 0</v>
      </c>
    </row>
    <row r="40" spans="1:5" ht="11.25" thickTop="1" x14ac:dyDescent="0.15">
      <c r="A40" s="12" t="s">
        <v>24</v>
      </c>
      <c r="D40" s="12">
        <f>D29-D36</f>
        <v>50.5219178082192</v>
      </c>
      <c r="E40" s="12">
        <f>E29-E36</f>
        <v>77.920917808219201</v>
      </c>
    </row>
    <row r="41" spans="1:5" ht="11.25" thickBot="1" x14ac:dyDescent="0.2">
      <c r="A41" s="25" t="s">
        <v>26</v>
      </c>
      <c r="B41" s="4"/>
      <c r="C41" s="4"/>
      <c r="D41" s="47">
        <f>D40-(D31-D27)</f>
        <v>0</v>
      </c>
      <c r="E41" s="47">
        <f>E40-(E31-E27)</f>
        <v>0</v>
      </c>
    </row>
    <row r="42" spans="1:5" ht="11.25" thickTop="1" x14ac:dyDescent="0.15"/>
    <row r="43" spans="1:5" ht="11.25" thickBot="1" x14ac:dyDescent="0.2"/>
    <row r="44" spans="1:5" ht="12" thickTop="1" thickBot="1" x14ac:dyDescent="0.2">
      <c r="A44" s="68" t="s">
        <v>51</v>
      </c>
      <c r="B44" s="29"/>
      <c r="C44" s="91"/>
      <c r="D44" s="91"/>
      <c r="E44" s="91"/>
    </row>
    <row r="45" spans="1:5" ht="11.25" thickTop="1" x14ac:dyDescent="0.15">
      <c r="A45" s="1" t="s">
        <v>88</v>
      </c>
      <c r="B45" s="3"/>
      <c r="C45" s="95" t="str">
        <f>C11</f>
        <v>Year-2</v>
      </c>
      <c r="D45" s="95" t="str">
        <f>D11</f>
        <v>Year-1</v>
      </c>
      <c r="E45" s="95" t="str">
        <f>E11</f>
        <v>Year 0</v>
      </c>
    </row>
    <row r="46" spans="1:5" x14ac:dyDescent="0.15">
      <c r="A46" s="9" t="s">
        <v>5</v>
      </c>
      <c r="C46" s="10">
        <f>C30*14%/7%</f>
        <v>1999.9999999999998</v>
      </c>
      <c r="D46" s="10">
        <f>D30*14%/7%</f>
        <v>2140</v>
      </c>
      <c r="E46" s="10">
        <f>E30*14%/7%</f>
        <v>2289.8000000000002</v>
      </c>
    </row>
    <row r="47" spans="1:5" x14ac:dyDescent="0.15">
      <c r="A47" s="23" t="s">
        <v>6</v>
      </c>
      <c r="B47" s="6"/>
      <c r="C47" s="6"/>
      <c r="D47" s="55">
        <f>D46/C46-1</f>
        <v>7.0000000000000062E-2</v>
      </c>
      <c r="E47" s="55">
        <f>E46/D46-1</f>
        <v>7.0000000000000062E-2</v>
      </c>
    </row>
    <row r="48" spans="1:5" x14ac:dyDescent="0.15">
      <c r="A48" s="27" t="s">
        <v>53</v>
      </c>
      <c r="B48" s="7"/>
      <c r="C48" s="27">
        <f>C30-C26</f>
        <v>973.01369863013701</v>
      </c>
      <c r="D48" s="27">
        <f>D30-D26</f>
        <v>1023.5356164383562</v>
      </c>
      <c r="E48" s="27">
        <f>E30-E26</f>
        <v>1101.4565342465753</v>
      </c>
    </row>
    <row r="49" spans="1:5" x14ac:dyDescent="0.15">
      <c r="A49" s="80" t="s">
        <v>86</v>
      </c>
      <c r="B49" s="6"/>
      <c r="C49" s="6"/>
      <c r="D49" s="23">
        <f>D47*C48</f>
        <v>68.110958904109651</v>
      </c>
      <c r="E49" s="23">
        <f>E47*D48</f>
        <v>71.647493150684994</v>
      </c>
    </row>
    <row r="50" spans="1:5" x14ac:dyDescent="0.15">
      <c r="A50" s="27" t="s">
        <v>32</v>
      </c>
      <c r="B50" s="7"/>
      <c r="C50" s="7"/>
      <c r="D50" s="27">
        <f>D36</f>
        <v>99.4780821917808</v>
      </c>
      <c r="E50" s="27">
        <f>E36</f>
        <v>82.579082191780799</v>
      </c>
    </row>
    <row r="51" spans="1:5" x14ac:dyDescent="0.15">
      <c r="A51" s="81" t="s">
        <v>87</v>
      </c>
      <c r="B51" s="7"/>
      <c r="C51" s="7"/>
      <c r="D51" s="27">
        <f>D49</f>
        <v>68.110958904109651</v>
      </c>
      <c r="E51" s="27">
        <f>E49</f>
        <v>71.647493150684994</v>
      </c>
    </row>
    <row r="52" spans="1:5" ht="11.25" thickBot="1" x14ac:dyDescent="0.2">
      <c r="A52" s="69" t="s">
        <v>69</v>
      </c>
      <c r="B52" s="50"/>
      <c r="C52" s="50"/>
      <c r="D52" s="51">
        <f>SUM(D50:D51)</f>
        <v>167.58904109589045</v>
      </c>
      <c r="E52" s="51">
        <f>SUM(E50:E51)</f>
        <v>154.22657534246579</v>
      </c>
    </row>
    <row r="53" spans="1:5" ht="11.25" thickTop="1" x14ac:dyDescent="0.15">
      <c r="A53" s="48"/>
      <c r="B53" s="7"/>
      <c r="C53" s="7"/>
      <c r="D53" s="27"/>
      <c r="E53" s="27"/>
    </row>
    <row r="54" spans="1:5" ht="11.25" thickBot="1" x14ac:dyDescent="0.2">
      <c r="A54" s="48"/>
      <c r="B54" s="7"/>
      <c r="C54" s="7"/>
      <c r="D54" s="27"/>
      <c r="E54" s="27"/>
    </row>
    <row r="55" spans="1:5" ht="12" thickTop="1" thickBot="1" x14ac:dyDescent="0.2">
      <c r="A55" s="58" t="s">
        <v>47</v>
      </c>
      <c r="B55" s="29"/>
      <c r="C55" s="91"/>
      <c r="D55" s="91"/>
      <c r="E55" s="91"/>
    </row>
    <row r="56" spans="1:5" ht="11.25" thickTop="1" x14ac:dyDescent="0.15">
      <c r="A56" s="82" t="s">
        <v>91</v>
      </c>
      <c r="B56" s="83"/>
      <c r="C56" s="98" t="str">
        <f>C11</f>
        <v>Year-2</v>
      </c>
      <c r="D56" s="98" t="str">
        <f>D11</f>
        <v>Year-1</v>
      </c>
      <c r="E56" s="98" t="str">
        <f>E11</f>
        <v>Year 0</v>
      </c>
    </row>
    <row r="57" spans="1:5" x14ac:dyDescent="0.15">
      <c r="A57" s="85" t="s">
        <v>71</v>
      </c>
      <c r="B57" s="30"/>
      <c r="C57" s="30"/>
      <c r="D57" s="84"/>
      <c r="E57" s="84"/>
    </row>
    <row r="58" spans="1:5" x14ac:dyDescent="0.15">
      <c r="A58" s="81" t="s">
        <v>89</v>
      </c>
      <c r="D58" s="22">
        <f>D40/D46</f>
        <v>2.3608372807579065E-2</v>
      </c>
      <c r="E58" s="22">
        <f>E40/E46</f>
        <v>3.4029573678146213E-2</v>
      </c>
    </row>
    <row r="59" spans="1:5" x14ac:dyDescent="0.15">
      <c r="A59" s="87" t="s">
        <v>90</v>
      </c>
      <c r="B59" s="6"/>
      <c r="C59" s="6"/>
      <c r="D59" s="55">
        <f>D40/D29</f>
        <v>0.33681278538812798</v>
      </c>
      <c r="E59" s="55">
        <f>E40/E29</f>
        <v>0.48548858447488596</v>
      </c>
    </row>
    <row r="60" spans="1:5" x14ac:dyDescent="0.15">
      <c r="A60" s="64" t="s">
        <v>70</v>
      </c>
      <c r="B60" s="37"/>
      <c r="C60" s="37"/>
      <c r="D60" s="37"/>
      <c r="E60" s="37"/>
    </row>
    <row r="61" spans="1:5" x14ac:dyDescent="0.15">
      <c r="A61" s="12" t="s">
        <v>33</v>
      </c>
      <c r="D61" s="22">
        <f>D52/D46</f>
        <v>7.831263602611703E-2</v>
      </c>
      <c r="E61" s="22">
        <f>E52/E46</f>
        <v>6.7353731916527979E-2</v>
      </c>
    </row>
    <row r="62" spans="1:5" x14ac:dyDescent="0.15">
      <c r="A62" s="23" t="s">
        <v>34</v>
      </c>
      <c r="B62" s="6"/>
      <c r="C62" s="6"/>
      <c r="D62" s="55">
        <f>D52/D29</f>
        <v>1.117260273972603</v>
      </c>
      <c r="E62" s="55">
        <f>E52/E29</f>
        <v>0.96091324200913264</v>
      </c>
    </row>
    <row r="63" spans="1:5" x14ac:dyDescent="0.15">
      <c r="A63" s="65" t="s">
        <v>72</v>
      </c>
      <c r="B63" s="37"/>
      <c r="C63" s="37"/>
      <c r="D63" s="86"/>
      <c r="E63" s="86"/>
    </row>
    <row r="64" spans="1:5" x14ac:dyDescent="0.15">
      <c r="A64" s="32" t="s">
        <v>35</v>
      </c>
      <c r="B64" s="7"/>
      <c r="C64" s="7"/>
      <c r="D64" s="46">
        <f>(D29-D52)/D46</f>
        <v>-8.2191780821917991E-3</v>
      </c>
      <c r="E64" s="46">
        <f>(E29-E52)/E46</f>
        <v>2.7397260273972429E-3</v>
      </c>
    </row>
    <row r="65" spans="1:5" ht="11.25" thickBot="1" x14ac:dyDescent="0.2">
      <c r="A65" s="53" t="s">
        <v>36</v>
      </c>
      <c r="B65" s="4"/>
      <c r="C65" s="4"/>
      <c r="D65" s="17">
        <f>(D29-D52)/D29</f>
        <v>-0.11726027397260301</v>
      </c>
      <c r="E65" s="17">
        <f>(E29-E52)/E29</f>
        <v>3.9086757990867332E-2</v>
      </c>
    </row>
    <row r="66" spans="1:5" ht="11.25" thickTop="1" x14ac:dyDescent="0.15">
      <c r="A66" s="88" t="s">
        <v>92</v>
      </c>
      <c r="B66" s="83"/>
      <c r="C66" s="98" t="str">
        <f>C11</f>
        <v>Year-2</v>
      </c>
      <c r="D66" s="98" t="str">
        <f>D11</f>
        <v>Year-1</v>
      </c>
      <c r="E66" s="98" t="str">
        <f>E11</f>
        <v>Year 0</v>
      </c>
    </row>
    <row r="67" spans="1:5" x14ac:dyDescent="0.15">
      <c r="A67" s="87" t="s">
        <v>93</v>
      </c>
      <c r="B67" s="6"/>
      <c r="C67" s="55">
        <f>C48/C30</f>
        <v>0.97301369863013698</v>
      </c>
      <c r="D67" s="55">
        <f>D48/D30</f>
        <v>0.95657534246575349</v>
      </c>
      <c r="E67" s="55">
        <f>E48/E30</f>
        <v>0.96205479452054787</v>
      </c>
    </row>
    <row r="68" spans="1:5" ht="11.25" thickBot="1" x14ac:dyDescent="0.2">
      <c r="A68" s="99" t="s">
        <v>97</v>
      </c>
      <c r="B68" s="100"/>
      <c r="C68" s="101">
        <f>C48/C46</f>
        <v>0.48650684931506855</v>
      </c>
      <c r="D68" s="101">
        <f t="shared" ref="D68:E68" si="1">D48/D46</f>
        <v>0.47828767123287674</v>
      </c>
      <c r="E68" s="101">
        <f t="shared" si="1"/>
        <v>0.48102739726027394</v>
      </c>
    </row>
    <row r="69" spans="1:5" ht="11.25" thickTop="1" x14ac:dyDescent="0.15">
      <c r="E69" s="90"/>
    </row>
    <row r="70" spans="1:5" ht="11.25" thickBot="1" x14ac:dyDescent="0.2">
      <c r="A70" s="4"/>
      <c r="B70" s="4"/>
      <c r="C70" s="4"/>
      <c r="D70" s="4"/>
      <c r="E70" s="4"/>
    </row>
    <row r="71" spans="1:5" ht="12" thickTop="1" thickBot="1" x14ac:dyDescent="0.2">
      <c r="A71" s="73" t="s">
        <v>78</v>
      </c>
      <c r="B71" s="28"/>
      <c r="C71" s="28"/>
      <c r="D71" s="28"/>
      <c r="E71" s="28"/>
    </row>
    <row r="72" spans="1:5" ht="11.25" thickTop="1" x14ac:dyDescent="0.15">
      <c r="A72" s="8" t="s">
        <v>12</v>
      </c>
      <c r="B72" s="3"/>
      <c r="C72" s="95" t="str">
        <f>C11</f>
        <v>Year-2</v>
      </c>
      <c r="D72" s="95" t="str">
        <f>D11</f>
        <v>Year-1</v>
      </c>
      <c r="E72" s="95" t="str">
        <f>E11</f>
        <v>Year 0</v>
      </c>
    </row>
    <row r="73" spans="1:5" x14ac:dyDescent="0.15">
      <c r="A73" s="59" t="s">
        <v>18</v>
      </c>
      <c r="C73" s="92"/>
      <c r="D73" s="92"/>
      <c r="E73" s="92"/>
    </row>
    <row r="74" spans="1:5" x14ac:dyDescent="0.15">
      <c r="A74" s="94" t="s">
        <v>95</v>
      </c>
      <c r="C74" s="93">
        <v>0</v>
      </c>
      <c r="D74" s="93">
        <v>0</v>
      </c>
      <c r="E74" s="93">
        <v>0</v>
      </c>
    </row>
    <row r="75" spans="1:5" x14ac:dyDescent="0.15">
      <c r="A75" s="5" t="s">
        <v>96</v>
      </c>
      <c r="B75" s="6"/>
      <c r="C75" s="5">
        <f>C46*25/365</f>
        <v>136.98630136986299</v>
      </c>
      <c r="D75" s="5">
        <f>D46*25/365</f>
        <v>146.57534246575344</v>
      </c>
      <c r="E75" s="5">
        <f>E46*25/365</f>
        <v>156.8356164383562</v>
      </c>
    </row>
    <row r="76" spans="1:5" x14ac:dyDescent="0.15">
      <c r="A76" s="12" t="s">
        <v>5</v>
      </c>
      <c r="C76" s="26"/>
      <c r="D76" s="12">
        <f>D46</f>
        <v>2140</v>
      </c>
      <c r="E76" s="12">
        <f>E46</f>
        <v>2289.8000000000002</v>
      </c>
    </row>
    <row r="77" spans="1:5" x14ac:dyDescent="0.15">
      <c r="A77" s="32" t="s">
        <v>15</v>
      </c>
      <c r="B77" s="12"/>
      <c r="C77" s="27"/>
      <c r="D77" s="27"/>
      <c r="E77" s="27"/>
    </row>
    <row r="78" spans="1:5" x14ac:dyDescent="0.15">
      <c r="A78" s="56" t="s">
        <v>16</v>
      </c>
      <c r="B78" s="12"/>
      <c r="C78" s="27"/>
      <c r="D78" s="27">
        <f>-(D74-C74)</f>
        <v>0</v>
      </c>
      <c r="E78" s="27">
        <f>-(E74-D74)</f>
        <v>0</v>
      </c>
    </row>
    <row r="79" spans="1:5" x14ac:dyDescent="0.15">
      <c r="A79" s="56" t="s">
        <v>17</v>
      </c>
      <c r="B79" s="12"/>
      <c r="C79" s="27"/>
      <c r="D79" s="27">
        <f>D75-C75</f>
        <v>9.5890410958904511</v>
      </c>
      <c r="E79" s="27">
        <f>E75-D75</f>
        <v>10.260273972602761</v>
      </c>
    </row>
    <row r="80" spans="1:5" ht="11.25" thickBot="1" x14ac:dyDescent="0.2">
      <c r="A80" s="52" t="s">
        <v>57</v>
      </c>
      <c r="B80" s="25"/>
      <c r="C80" s="25"/>
      <c r="D80" s="25">
        <f>SUM(D76:D79)</f>
        <v>2149.5890410958905</v>
      </c>
      <c r="E80" s="25">
        <f>SUM(E76:E79)</f>
        <v>2300.0602739726028</v>
      </c>
    </row>
    <row r="81" spans="1:5" ht="11.25" thickTop="1" x14ac:dyDescent="0.15">
      <c r="A81" s="35" t="s">
        <v>13</v>
      </c>
      <c r="B81" s="41"/>
      <c r="C81" s="96" t="str">
        <f>C11</f>
        <v>Year-2</v>
      </c>
      <c r="D81" s="96" t="str">
        <f>D11</f>
        <v>Year-1</v>
      </c>
      <c r="E81" s="96" t="str">
        <f>E11</f>
        <v>Year 0</v>
      </c>
    </row>
    <row r="82" spans="1:5" x14ac:dyDescent="0.15">
      <c r="A82" s="38" t="s">
        <v>19</v>
      </c>
      <c r="B82" s="27"/>
      <c r="C82" s="27"/>
      <c r="D82" s="27"/>
      <c r="E82" s="27"/>
    </row>
    <row r="83" spans="1:5" x14ac:dyDescent="0.15">
      <c r="A83" s="9" t="s">
        <v>37</v>
      </c>
      <c r="B83" s="7"/>
      <c r="C83" s="10"/>
      <c r="D83" s="10">
        <f>(SUM(C21:C22)*6%-SUM(C13:C14)*2%)*(1-D86)</f>
        <v>9.2399999999999984</v>
      </c>
      <c r="E83" s="10">
        <f>(SUM(D21:D22)*6%-SUM(D13:D14)*2%)*(1-E86)</f>
        <v>9.8867999999999991</v>
      </c>
    </row>
    <row r="84" spans="1:5" x14ac:dyDescent="0.15">
      <c r="A84" s="9" t="s">
        <v>38</v>
      </c>
      <c r="B84" s="7"/>
      <c r="C84" s="10"/>
      <c r="D84" s="10">
        <f>D83*1.2</f>
        <v>11.087999999999997</v>
      </c>
      <c r="E84" s="10">
        <f>E83*1.2</f>
        <v>11.864159999999998</v>
      </c>
    </row>
    <row r="85" spans="1:5" x14ac:dyDescent="0.15">
      <c r="A85" s="31" t="s">
        <v>27</v>
      </c>
      <c r="B85" s="23"/>
      <c r="C85" s="23"/>
      <c r="D85" s="23">
        <f>SUM(D83:D84)</f>
        <v>20.327999999999996</v>
      </c>
      <c r="E85" s="23">
        <f>SUM(E83:E84)</f>
        <v>21.750959999999999</v>
      </c>
    </row>
    <row r="86" spans="1:5" x14ac:dyDescent="0.15">
      <c r="A86" s="60" t="s">
        <v>39</v>
      </c>
      <c r="B86" s="6"/>
      <c r="C86" s="13"/>
      <c r="D86" s="13">
        <v>0.4</v>
      </c>
      <c r="E86" s="13">
        <v>0.4</v>
      </c>
    </row>
    <row r="87" spans="1:5" x14ac:dyDescent="0.15">
      <c r="A87" s="54" t="s">
        <v>28</v>
      </c>
      <c r="B87" s="7"/>
      <c r="C87" s="27"/>
      <c r="D87" s="27">
        <f>D85*(1-D86)</f>
        <v>12.196799999999998</v>
      </c>
      <c r="E87" s="27">
        <f>E85*(1-E86)</f>
        <v>13.050576</v>
      </c>
    </row>
    <row r="88" spans="1:5" x14ac:dyDescent="0.15">
      <c r="A88" s="9" t="s">
        <v>40</v>
      </c>
      <c r="B88" s="7"/>
      <c r="C88" s="10"/>
      <c r="D88" s="10">
        <f>D29*25%</f>
        <v>37.5</v>
      </c>
      <c r="E88" s="10">
        <f>E29*25%</f>
        <v>40.125</v>
      </c>
    </row>
    <row r="89" spans="1:5" x14ac:dyDescent="0.15">
      <c r="A89" s="60" t="s">
        <v>41</v>
      </c>
      <c r="B89" s="6"/>
      <c r="C89" s="5"/>
      <c r="D89" s="5">
        <f>C30*2%</f>
        <v>20</v>
      </c>
      <c r="E89" s="5">
        <f>D30*2%</f>
        <v>21.400000000000002</v>
      </c>
    </row>
    <row r="90" spans="1:5" ht="11.25" thickBot="1" x14ac:dyDescent="0.2">
      <c r="A90" s="61" t="s">
        <v>29</v>
      </c>
      <c r="B90" s="40"/>
      <c r="C90" s="40"/>
      <c r="D90" s="40">
        <f>D85*(1-D86)+D88+D89</f>
        <v>69.696799999999996</v>
      </c>
      <c r="E90" s="40">
        <f>E85*(1-E86)+E88+E89</f>
        <v>74.575575999999998</v>
      </c>
    </row>
    <row r="91" spans="1:5" ht="11.25" thickTop="1" x14ac:dyDescent="0.15">
      <c r="A91" s="26" t="s">
        <v>74</v>
      </c>
      <c r="B91" s="12"/>
      <c r="C91" s="12"/>
      <c r="D91" s="26">
        <f>D36</f>
        <v>99.4780821917808</v>
      </c>
      <c r="E91" s="26">
        <f>E36</f>
        <v>82.579082191780799</v>
      </c>
    </row>
    <row r="92" spans="1:5" x14ac:dyDescent="0.15">
      <c r="A92" s="26" t="s">
        <v>30</v>
      </c>
      <c r="D92" s="12">
        <f>D90</f>
        <v>69.696799999999996</v>
      </c>
      <c r="E92" s="12">
        <f>E90</f>
        <v>74.575575999999998</v>
      </c>
    </row>
    <row r="93" spans="1:5" x14ac:dyDescent="0.15">
      <c r="A93" s="71" t="s">
        <v>73</v>
      </c>
      <c r="B93" s="6"/>
      <c r="C93" s="6"/>
      <c r="D93" s="23">
        <f>SUM(D91:D92)</f>
        <v>169.1748821917808</v>
      </c>
      <c r="E93" s="23">
        <f>SUM(E91:E92)</f>
        <v>157.15465819178081</v>
      </c>
    </row>
    <row r="94" spans="1:5" ht="11.25" thickBot="1" x14ac:dyDescent="0.2">
      <c r="A94" s="72" t="s">
        <v>75</v>
      </c>
      <c r="B94" s="42"/>
      <c r="C94" s="43"/>
      <c r="D94" s="40">
        <f>D80-D93</f>
        <v>1980.4141589041096</v>
      </c>
      <c r="E94" s="40">
        <f>E80-E93</f>
        <v>2142.9056157808218</v>
      </c>
    </row>
    <row r="95" spans="1:5" ht="11.25" thickTop="1" x14ac:dyDescent="0.15">
      <c r="A95" s="8" t="s">
        <v>20</v>
      </c>
      <c r="B95" s="3"/>
      <c r="C95" s="95" t="str">
        <f>C11</f>
        <v>Year-2</v>
      </c>
      <c r="D95" s="95" t="str">
        <f>D11</f>
        <v>Year-1</v>
      </c>
      <c r="E95" s="95" t="str">
        <f>E11</f>
        <v>Year 0</v>
      </c>
    </row>
    <row r="96" spans="1:5" x14ac:dyDescent="0.15">
      <c r="A96" s="38" t="s">
        <v>100</v>
      </c>
      <c r="B96" s="37"/>
      <c r="C96" s="9"/>
      <c r="D96" s="9"/>
      <c r="E96" s="9"/>
    </row>
    <row r="97" spans="1:5" x14ac:dyDescent="0.15">
      <c r="A97" s="9" t="s">
        <v>42</v>
      </c>
      <c r="B97" s="7"/>
      <c r="C97" s="10"/>
      <c r="D97" s="10">
        <f>D46*20%</f>
        <v>428</v>
      </c>
      <c r="E97" s="10">
        <f>E46*20%</f>
        <v>457.96000000000004</v>
      </c>
    </row>
    <row r="98" spans="1:5" x14ac:dyDescent="0.15">
      <c r="A98" s="9" t="s">
        <v>43</v>
      </c>
      <c r="B98" s="7"/>
      <c r="C98" s="10"/>
      <c r="D98" s="10">
        <f>-10%*D97</f>
        <v>-42.800000000000004</v>
      </c>
      <c r="E98" s="10">
        <f>-10%*E97</f>
        <v>-45.796000000000006</v>
      </c>
    </row>
    <row r="99" spans="1:5" x14ac:dyDescent="0.15">
      <c r="A99" s="9" t="s">
        <v>44</v>
      </c>
      <c r="C99" s="10"/>
      <c r="D99" s="10">
        <f>D97*4%</f>
        <v>17.12</v>
      </c>
      <c r="E99" s="10">
        <f>E97*4%</f>
        <v>18.3184</v>
      </c>
    </row>
    <row r="100" spans="1:5" x14ac:dyDescent="0.15">
      <c r="A100" s="9" t="s">
        <v>45</v>
      </c>
      <c r="C100" s="10"/>
      <c r="D100" s="10">
        <f>D97*10%</f>
        <v>42.800000000000004</v>
      </c>
      <c r="E100" s="10">
        <f>E97*10%</f>
        <v>45.796000000000006</v>
      </c>
    </row>
    <row r="101" spans="1:5" x14ac:dyDescent="0.15">
      <c r="A101" s="102" t="s">
        <v>101</v>
      </c>
      <c r="B101" s="6"/>
      <c r="C101" s="23"/>
      <c r="D101" s="23">
        <f>SUM(D97:D100)</f>
        <v>445.12</v>
      </c>
      <c r="E101" s="23">
        <f>SUM(E97:E100)</f>
        <v>476.27840000000003</v>
      </c>
    </row>
    <row r="102" spans="1:5" ht="21.75" thickBot="1" x14ac:dyDescent="0.2">
      <c r="A102" s="45" t="s">
        <v>77</v>
      </c>
      <c r="B102" s="4"/>
      <c r="C102" s="44"/>
      <c r="D102" s="25">
        <f>D94-D101</f>
        <v>1535.2941589041097</v>
      </c>
      <c r="E102" s="25">
        <f>E94-E101</f>
        <v>1666.6272157808216</v>
      </c>
    </row>
    <row r="103" spans="1:5" ht="11.25" thickTop="1" x14ac:dyDescent="0.15">
      <c r="A103" s="8" t="s">
        <v>58</v>
      </c>
      <c r="B103" s="3"/>
      <c r="C103" s="95" t="str">
        <f>C11</f>
        <v>Year-2</v>
      </c>
      <c r="D103" s="95" t="str">
        <f>D11</f>
        <v>Year-1</v>
      </c>
      <c r="E103" s="95" t="str">
        <f>E11</f>
        <v>Year 0</v>
      </c>
    </row>
    <row r="104" spans="1:5" x14ac:dyDescent="0.15">
      <c r="A104" s="12" t="s">
        <v>12</v>
      </c>
      <c r="D104" s="12">
        <f>D80</f>
        <v>2149.5890410958905</v>
      </c>
      <c r="E104" s="12">
        <f>E80</f>
        <v>2300.0602739726028</v>
      </c>
    </row>
    <row r="105" spans="1:5" x14ac:dyDescent="0.15">
      <c r="A105" s="79" t="s">
        <v>85</v>
      </c>
      <c r="D105" s="12">
        <f>D102</f>
        <v>1535.2941589041097</v>
      </c>
      <c r="E105" s="12">
        <f>E102</f>
        <v>1666.6272157808216</v>
      </c>
    </row>
    <row r="106" spans="1:5" x14ac:dyDescent="0.15">
      <c r="A106" s="71" t="s">
        <v>104</v>
      </c>
      <c r="B106" s="6"/>
      <c r="C106" s="6"/>
      <c r="D106" s="23">
        <f>D104-D105</f>
        <v>614.29488219178074</v>
      </c>
      <c r="E106" s="23">
        <f>E104-E105</f>
        <v>633.43305819178113</v>
      </c>
    </row>
    <row r="107" spans="1:5" x14ac:dyDescent="0.15">
      <c r="A107" s="79" t="s">
        <v>102</v>
      </c>
      <c r="D107" s="12">
        <f>D101</f>
        <v>445.12</v>
      </c>
      <c r="E107" s="12">
        <f>E101</f>
        <v>476.27840000000003</v>
      </c>
    </row>
    <row r="108" spans="1:5" x14ac:dyDescent="0.15">
      <c r="A108" s="74" t="s">
        <v>14</v>
      </c>
      <c r="B108" s="6"/>
      <c r="C108" s="6"/>
      <c r="D108" s="23">
        <f>D106-D107</f>
        <v>169.17488219178074</v>
      </c>
      <c r="E108" s="23">
        <f>E106-E107</f>
        <v>157.1546581917811</v>
      </c>
    </row>
    <row r="109" spans="1:5" x14ac:dyDescent="0.15">
      <c r="A109" s="26" t="s">
        <v>76</v>
      </c>
      <c r="D109" s="12">
        <f>D92</f>
        <v>69.696799999999996</v>
      </c>
      <c r="E109" s="12">
        <f>E92</f>
        <v>74.575575999999998</v>
      </c>
    </row>
    <row r="110" spans="1:5" ht="11.25" thickBot="1" x14ac:dyDescent="0.2">
      <c r="A110" s="62" t="s">
        <v>46</v>
      </c>
      <c r="B110" s="4"/>
      <c r="C110" s="4"/>
      <c r="D110" s="25">
        <f>D108-D109</f>
        <v>99.478082191780743</v>
      </c>
      <c r="E110" s="25">
        <f>E108-E109</f>
        <v>82.579082191781097</v>
      </c>
    </row>
    <row r="111" spans="1:5" ht="12" thickTop="1" thickBot="1" x14ac:dyDescent="0.2">
      <c r="A111" s="89" t="s">
        <v>94</v>
      </c>
      <c r="B111" s="14"/>
      <c r="C111" s="14"/>
      <c r="D111" s="15">
        <f>D91-D110</f>
        <v>0</v>
      </c>
      <c r="E111" s="15">
        <f>E91-E110</f>
        <v>-2.9842794901924208E-13</v>
      </c>
    </row>
    <row r="112" spans="1:5" ht="11.25" thickTop="1" x14ac:dyDescent="0.15">
      <c r="A112" s="88" t="s">
        <v>105</v>
      </c>
      <c r="B112" s="82"/>
      <c r="C112" s="82"/>
      <c r="D112" s="104"/>
      <c r="E112" s="104"/>
    </row>
    <row r="113" spans="1:5" ht="11.25" thickBot="1" x14ac:dyDescent="0.2">
      <c r="A113" s="105" t="s">
        <v>103</v>
      </c>
      <c r="B113" s="4"/>
      <c r="C113" s="4"/>
      <c r="D113" s="103">
        <f>D106/D104</f>
        <v>0.28577317359163901</v>
      </c>
      <c r="E113" s="103">
        <f>E106/E104</f>
        <v>0.27539846036196802</v>
      </c>
    </row>
    <row r="114" spans="1:5" ht="11.25" thickTop="1" x14ac:dyDescent="0.15"/>
  </sheetData>
  <phoneticPr fontId="0" type="noConversion"/>
  <conditionalFormatting sqref="D111:E111 D41:E41">
    <cfRule type="cellIs" dxfId="1" priority="1" stopIfTrue="1" operator="between">
      <formula>-0.01</formula>
      <formula>0.01</formula>
    </cfRule>
  </conditionalFormatting>
  <conditionalFormatting sqref="E69">
    <cfRule type="cellIs" dxfId="0" priority="2" stopIfTrue="1" operator="between">
      <formula>-0.01</formula>
      <formula>0.01</formula>
    </cfRule>
  </conditionalFormatting>
  <printOptions gridLines="1"/>
  <pageMargins left="0.75" right="0.75" top="1" bottom="1" header="0.5" footer="0.5"/>
  <pageSetup orientation="landscape" horizontalDpi="1200" verticalDpi="1200" r:id="rId1"/>
  <headerFooter alignWithMargins="0">
    <oddHeader>&amp;L&amp;8&amp;A</oddHeader>
    <oddFooter>&amp;L&amp;8© Dan Gode and James Ohlson. All rights reserved. &amp;D&amp;R&amp;8&amp;P</oddFooter>
  </headerFooter>
  <rowBreaks count="1" manualBreakCount="1"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E15"/>
  <sheetViews>
    <sheetView showGridLines="0" zoomScaleNormal="100" workbookViewId="0"/>
  </sheetViews>
  <sheetFormatPr defaultRowHeight="10.5" x14ac:dyDescent="0.15"/>
  <cols>
    <col min="1" max="1" width="67" bestFit="1" customWidth="1"/>
    <col min="3" max="5" width="7.85546875" bestFit="1" customWidth="1"/>
  </cols>
  <sheetData>
    <row r="3" spans="1:5" ht="11.25" thickBot="1" x14ac:dyDescent="0.2">
      <c r="A3" s="4"/>
      <c r="B3" s="4"/>
      <c r="C3" s="4"/>
      <c r="D3" s="4"/>
      <c r="E3" s="4"/>
    </row>
    <row r="4" spans="1:5" ht="11.25" thickTop="1" x14ac:dyDescent="0.15">
      <c r="A4" s="63" t="s">
        <v>59</v>
      </c>
      <c r="B4" s="3"/>
      <c r="C4" s="39" t="str">
        <f>'AdjustedCashEarnings(ACE)'!C11</f>
        <v>Year-2</v>
      </c>
      <c r="D4" s="39" t="str">
        <f>'AdjustedCashEarnings(ACE)'!D11</f>
        <v>Year-1</v>
      </c>
      <c r="E4" s="39" t="str">
        <f>'AdjustedCashEarnings(ACE)'!E11</f>
        <v>Year 0</v>
      </c>
    </row>
    <row r="5" spans="1:5" x14ac:dyDescent="0.15">
      <c r="A5" s="70" t="s">
        <v>82</v>
      </c>
      <c r="C5" s="2">
        <f>25*'AdjustedCashEarnings(ACE)'!C46/365</f>
        <v>136.98630136986299</v>
      </c>
      <c r="D5" s="2">
        <f>28*'AdjustedCashEarnings(ACE)'!D46/365</f>
        <v>164.16438356164383</v>
      </c>
      <c r="E5" s="2">
        <f>27*'AdjustedCashEarnings(ACE)'!E46/365</f>
        <v>169.38246575342467</v>
      </c>
    </row>
    <row r="6" spans="1:5" x14ac:dyDescent="0.15">
      <c r="A6" s="70" t="s">
        <v>84</v>
      </c>
      <c r="C6" s="2">
        <f>C5*3%</f>
        <v>4.1095890410958891</v>
      </c>
      <c r="D6" s="2">
        <f>D5*2.8%</f>
        <v>4.596602739726027</v>
      </c>
      <c r="E6" s="2">
        <f>E5*2.75%</f>
        <v>4.6580178082191788</v>
      </c>
    </row>
    <row r="7" spans="1:5" x14ac:dyDescent="0.15">
      <c r="A7" s="12" t="s">
        <v>81</v>
      </c>
      <c r="C7" s="77">
        <f>C5/('AdjustedCashEarnings(ACE)'!C46/365)</f>
        <v>24.999999999999996</v>
      </c>
      <c r="D7" s="77">
        <f>D5/('AdjustedCashEarnings(ACE)'!D46/365)</f>
        <v>27.999999999999996</v>
      </c>
      <c r="E7" s="77">
        <f>E5/('AdjustedCashEarnings(ACE)'!E46/365)</f>
        <v>27</v>
      </c>
    </row>
    <row r="8" spans="1:5" x14ac:dyDescent="0.15">
      <c r="A8" s="2" t="s">
        <v>48</v>
      </c>
      <c r="C8" s="18">
        <v>30</v>
      </c>
      <c r="D8" s="18">
        <v>30</v>
      </c>
      <c r="E8" s="18">
        <v>30</v>
      </c>
    </row>
    <row r="9" spans="1:5" x14ac:dyDescent="0.15">
      <c r="A9" s="26" t="s">
        <v>60</v>
      </c>
      <c r="C9" s="19" t="str">
        <f>IF(C7&gt;C8,"No","Yes")</f>
        <v>Yes</v>
      </c>
      <c r="D9" s="19" t="str">
        <f>IF(D7&gt;D8,"No","Yes")</f>
        <v>Yes</v>
      </c>
      <c r="E9" s="19" t="str">
        <f>IF(E7&gt;E8,"No","Yes")</f>
        <v>Yes</v>
      </c>
    </row>
    <row r="10" spans="1:5" x14ac:dyDescent="0.15">
      <c r="A10" s="26" t="s">
        <v>83</v>
      </c>
      <c r="C10" s="20">
        <f>C6/C5</f>
        <v>2.9999999999999995E-2</v>
      </c>
      <c r="D10" s="20">
        <f>D6/D5</f>
        <v>2.7999999999999997E-2</v>
      </c>
      <c r="E10" s="20">
        <f>E6/E5</f>
        <v>2.7500000000000004E-2</v>
      </c>
    </row>
    <row r="11" spans="1:5" x14ac:dyDescent="0.15">
      <c r="A11" s="2" t="s">
        <v>49</v>
      </c>
      <c r="C11" s="20">
        <v>0.03</v>
      </c>
      <c r="D11" s="20">
        <v>0.03</v>
      </c>
      <c r="E11" s="20">
        <v>0.03</v>
      </c>
    </row>
    <row r="12" spans="1:5" x14ac:dyDescent="0.15">
      <c r="A12" s="26" t="s">
        <v>61</v>
      </c>
      <c r="C12" s="21" t="str">
        <f>IF(C10&gt;C11,"No","Yes")</f>
        <v>Yes</v>
      </c>
      <c r="D12" s="21" t="str">
        <f>IF(D10&gt;D11,"No","Yes")</f>
        <v>Yes</v>
      </c>
      <c r="E12" s="21" t="str">
        <f>IF(E10&gt;E11,"No","Yes")</f>
        <v>Yes</v>
      </c>
    </row>
    <row r="13" spans="1:5" x14ac:dyDescent="0.15">
      <c r="A13" s="75" t="s">
        <v>62</v>
      </c>
      <c r="B13" s="6"/>
      <c r="C13" s="76" t="str">
        <f>IF(AND(C9="Yes",C12="Yes"),"Yes","No")</f>
        <v>Yes</v>
      </c>
      <c r="D13" s="76" t="str">
        <f>IF(AND(D9="Yes",D12="Yes"),"Yes","No")</f>
        <v>Yes</v>
      </c>
      <c r="E13" s="76" t="str">
        <f>IF(AND(E9="Yes",E12="Yes"),"Yes","No")</f>
        <v>Yes</v>
      </c>
    </row>
    <row r="14" spans="1:5" ht="11.25" thickBot="1" x14ac:dyDescent="0.2">
      <c r="A14" s="72" t="s">
        <v>80</v>
      </c>
      <c r="B14" s="78"/>
      <c r="C14" s="78">
        <f>IF(C13="Yes",C5,0)</f>
        <v>136.98630136986299</v>
      </c>
      <c r="D14" s="78">
        <f>IF(D13="Yes",D5,0)</f>
        <v>164.16438356164383</v>
      </c>
      <c r="E14" s="78">
        <f>IF(E13="Yes",E5,0)</f>
        <v>169.38246575342467</v>
      </c>
    </row>
    <row r="15" spans="1:5" ht="11.25" thickTop="1" x14ac:dyDescent="0.15"/>
  </sheetData>
  <printOptions gridLines="1"/>
  <pageMargins left="0.7" right="0.7" top="0.75" bottom="0.75" header="0.3" footer="0.3"/>
  <pageSetup orientation="portrait" r:id="rId1"/>
  <headerFooter>
    <oddHeader>&amp;L&amp;8&amp;A</oddHeader>
    <oddFooter>&amp;L&amp;8© Dan Gode and James Ohlson. All rights reserved. &amp;D&amp;R&amp;8&amp;P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AdjustedCashEarnings(ACE)</vt:lpstr>
      <vt:lpstr>Soft</vt:lpstr>
    </vt:vector>
  </TitlesOfParts>
  <Manager>http://www.dangode.com</Manager>
  <Company>http://www.godeohlson.com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Adjusted Cash Earnings (ACE)</dc:title>
  <dc:subject>Financial Statement Analysis and Valuation</dc:subject>
  <dc:creator>Dan Gode and James Ohlson</dc:creator>
  <cp:lastModifiedBy>Dan Gode</cp:lastModifiedBy>
  <cp:lastPrinted>2011-02-05T22:57:03Z</cp:lastPrinted>
  <dcterms:created xsi:type="dcterms:W3CDTF">2010-03-27T19:43:18Z</dcterms:created>
  <dcterms:modified xsi:type="dcterms:W3CDTF">2016-09-05T18:18:46Z</dcterms:modified>
</cp:coreProperties>
</file>